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erton\Google Drive\05 - Planilhas\Planilhas de avaliao física\Planilhas finalizadas\Planilhas de Avaliação Fisica e treinamento\"/>
    </mc:Choice>
  </mc:AlternateContent>
  <xr:revisionPtr revIDLastSave="0" documentId="13_ncr:1000001_{008E5D3B-7578-5B43-8DEF-1BAAAB860E72}" xr6:coauthVersionLast="45" xr6:coauthVersionMax="45" xr10:uidLastSave="{00000000-0000-0000-0000-000000000000}"/>
  <bookViews>
    <workbookView xWindow="-108" yWindow="-108" windowWidth="23256" windowHeight="12576" tabRatio="899" activeTab="1" xr2:uid="{00000000-000D-0000-FFFF-FFFF00000000}"/>
  </bookViews>
  <sheets>
    <sheet name="Avaliação Física 1" sheetId="11" r:id="rId1"/>
    <sheet name="Avaliação Física 2" sheetId="14" r:id="rId2"/>
    <sheet name="Avaliação Física 3" sheetId="15" r:id="rId3"/>
    <sheet name="Avaliação Física 4" sheetId="16" r:id="rId4"/>
    <sheet name="Avaliação Física 5" sheetId="17" r:id="rId5"/>
    <sheet name="Avaliação Física 6" sheetId="18" r:id="rId6"/>
    <sheet name="Comparativo" sheetId="12" r:id="rId7"/>
    <sheet name="Gráficos" sheetId="13" r:id="rId8"/>
  </sheets>
  <externalReferences>
    <externalReference r:id="rId9"/>
  </externalReferences>
  <definedNames>
    <definedName name="_xlnm.Print_Area" localSheetId="0">'Avaliação Física 1'!$B$1:$Q$322</definedName>
    <definedName name="_xlnm.Print_Area" localSheetId="1">'Avaliação Física 2'!$B$1:$Q$322</definedName>
    <definedName name="_xlnm.Print_Area" localSheetId="2">'Avaliação Física 3'!$B$1:$Q$322</definedName>
    <definedName name="_xlnm.Print_Area" localSheetId="3">'Avaliação Física 4'!$B$1:$Q$322</definedName>
    <definedName name="_xlnm.Print_Area" localSheetId="4">'Avaliação Física 5'!$B$1:$Q$322</definedName>
    <definedName name="_xlnm.Print_Area" localSheetId="5">'Avaliação Física 6'!$B$1:$Q$322</definedName>
    <definedName name="_xlnm.Print_Area" localSheetId="6">Comparativo!$A$1:$Q$76</definedName>
    <definedName name="_xlnm.Print_Area" localSheetId="7">Gráficos!$B$1:$J$50</definedName>
    <definedName name="CALC_CicloTérmino">EDATE([0]!ENT_CicloInício,3)-1</definedName>
    <definedName name="CALC_IMCParcial">IFERROR(#REF!/([0]!ENT_AlturaM^2),0)</definedName>
    <definedName name="CALC_ParaMetaKG">IF(ISNUMBER(#REF!),[0]!ENT_MetaKG-#REF!,"-")</definedName>
    <definedName name="CALC_VarTotalKG">IF(ISNUMBER(#REF!),#REF!-[0]!ENT_PesoKG,0)</definedName>
    <definedName name="cr" localSheetId="1">'Avaliação Física 2'!$AX$252</definedName>
    <definedName name="cr" localSheetId="2">'Avaliação Física 3'!$AX$252</definedName>
    <definedName name="cr" localSheetId="3">'Avaliação Física 4'!$AX$252</definedName>
    <definedName name="cr" localSheetId="4">'Avaliação Física 5'!$AX$252</definedName>
    <definedName name="cr" localSheetId="5">'Avaliação Física 6'!$AX$252</definedName>
    <definedName name="cr">'Avaliação Física 1'!$AX$252</definedName>
    <definedName name="ENT_AlturaM">#REF!</definedName>
    <definedName name="ENT_CicloInício">#REF!</definedName>
    <definedName name="ENT_MetaKG">#REF!</definedName>
    <definedName name="ENT_PesoKG">#REF!</definedName>
    <definedName name="LISTA_Treinos">[1]CONTROLE!$W$17:$W$28</definedName>
    <definedName name="_xlnm.Print_Titles" localSheetId="0">'Avaliação Física 1'!$1:$6</definedName>
    <definedName name="_xlnm.Print_Titles" localSheetId="1">'Avaliação Física 2'!$1:$6</definedName>
    <definedName name="_xlnm.Print_Titles" localSheetId="2">'Avaliação Física 3'!$1:$6</definedName>
    <definedName name="_xlnm.Print_Titles" localSheetId="3">'Avaliação Física 4'!$1:$6</definedName>
    <definedName name="_xlnm.Print_Titles" localSheetId="4">'Avaliação Física 5'!$1:$6</definedName>
    <definedName name="_xlnm.Print_Titles" localSheetId="5">'Avaliação Física 6'!$1:$6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93" i="11" l="1"/>
  <c r="T47" i="11"/>
  <c r="G266" i="14"/>
  <c r="DV9" i="14"/>
  <c r="N9" i="14"/>
  <c r="Y48" i="14"/>
  <c r="T47" i="14"/>
  <c r="DV9" i="15"/>
  <c r="N9" i="15"/>
  <c r="Y48" i="15"/>
  <c r="T47" i="15"/>
  <c r="DV9" i="16"/>
  <c r="N9" i="16"/>
  <c r="Y48" i="16"/>
  <c r="T47" i="16"/>
  <c r="T47" i="17"/>
  <c r="T47" i="18"/>
  <c r="G266" i="18"/>
  <c r="G266" i="17"/>
  <c r="G266" i="16"/>
  <c r="G266" i="15"/>
  <c r="P75" i="12"/>
  <c r="T47" i="13"/>
  <c r="N75" i="12"/>
  <c r="L75" i="12"/>
  <c r="R47" i="13"/>
  <c r="J75" i="12"/>
  <c r="Q47" i="13"/>
  <c r="H75" i="12"/>
  <c r="F75" i="12"/>
  <c r="P71" i="12"/>
  <c r="N71" i="12"/>
  <c r="L71" i="12"/>
  <c r="J71" i="12"/>
  <c r="Q45" i="13"/>
  <c r="H71" i="12"/>
  <c r="F71" i="12"/>
  <c r="P67" i="12"/>
  <c r="N67" i="12"/>
  <c r="L67" i="12"/>
  <c r="J67" i="12"/>
  <c r="Q43" i="13"/>
  <c r="H67" i="12"/>
  <c r="P43" i="13"/>
  <c r="F67" i="12"/>
  <c r="P63" i="12"/>
  <c r="N63" i="12"/>
  <c r="L63" i="12"/>
  <c r="J63" i="12"/>
  <c r="Q41" i="13"/>
  <c r="H63" i="12"/>
  <c r="F63" i="12"/>
  <c r="O41" i="13"/>
  <c r="P73" i="12"/>
  <c r="N73" i="12"/>
  <c r="S46" i="13"/>
  <c r="L73" i="12"/>
  <c r="J73" i="12"/>
  <c r="Q46" i="13"/>
  <c r="H73" i="12"/>
  <c r="F73" i="12"/>
  <c r="P69" i="12"/>
  <c r="N69" i="12"/>
  <c r="L69" i="12"/>
  <c r="R44" i="13"/>
  <c r="J69" i="12"/>
  <c r="Q44" i="13"/>
  <c r="H69" i="12"/>
  <c r="F69" i="12"/>
  <c r="P65" i="12"/>
  <c r="T42" i="13"/>
  <c r="N65" i="12"/>
  <c r="L65" i="12"/>
  <c r="J65" i="12"/>
  <c r="Q42" i="13"/>
  <c r="H65" i="12"/>
  <c r="F65" i="12"/>
  <c r="P61" i="12"/>
  <c r="N61" i="12"/>
  <c r="L61" i="12"/>
  <c r="J61" i="12"/>
  <c r="Q40" i="13"/>
  <c r="H61" i="12"/>
  <c r="F61" i="12"/>
  <c r="P59" i="12"/>
  <c r="T39" i="13"/>
  <c r="N59" i="12"/>
  <c r="L59" i="12"/>
  <c r="J59" i="12"/>
  <c r="Q39" i="13"/>
  <c r="H59" i="12"/>
  <c r="F59" i="12"/>
  <c r="P57" i="12"/>
  <c r="N57" i="12"/>
  <c r="L57" i="12"/>
  <c r="R38" i="13"/>
  <c r="J57" i="12"/>
  <c r="H57" i="12"/>
  <c r="F57" i="12"/>
  <c r="P55" i="12"/>
  <c r="N55" i="12"/>
  <c r="L55" i="12"/>
  <c r="J55" i="12"/>
  <c r="Q37" i="13"/>
  <c r="H55" i="12"/>
  <c r="F55" i="12"/>
  <c r="P53" i="12"/>
  <c r="N53" i="12"/>
  <c r="L53" i="12"/>
  <c r="J53" i="12"/>
  <c r="Q36" i="13"/>
  <c r="H53" i="12"/>
  <c r="F53" i="12"/>
  <c r="P51" i="12"/>
  <c r="N51" i="12"/>
  <c r="L51" i="12"/>
  <c r="J51" i="12"/>
  <c r="Q35" i="13"/>
  <c r="H51" i="12"/>
  <c r="F51" i="12"/>
  <c r="O35" i="13"/>
  <c r="L47" i="12"/>
  <c r="R31" i="13"/>
  <c r="L45" i="12"/>
  <c r="R30" i="13"/>
  <c r="L43" i="12"/>
  <c r="F100" i="16"/>
  <c r="L39" i="12"/>
  <c r="R27" i="13"/>
  <c r="F99" i="16"/>
  <c r="L37" i="12"/>
  <c r="R26" i="13"/>
  <c r="J47" i="12"/>
  <c r="J45" i="12"/>
  <c r="Q30" i="13"/>
  <c r="J43" i="12"/>
  <c r="Q29" i="13"/>
  <c r="F101" i="15"/>
  <c r="J41" i="12"/>
  <c r="Q28" i="13"/>
  <c r="F100" i="15"/>
  <c r="J39" i="12"/>
  <c r="H47" i="12"/>
  <c r="H43" i="12"/>
  <c r="P29" i="13"/>
  <c r="H45" i="12"/>
  <c r="F101" i="14"/>
  <c r="H41" i="12"/>
  <c r="P28" i="13"/>
  <c r="F98" i="14"/>
  <c r="H35" i="12"/>
  <c r="P25" i="13"/>
  <c r="F47" i="12"/>
  <c r="F45" i="12"/>
  <c r="P32" i="12"/>
  <c r="T20" i="13"/>
  <c r="N32" i="12"/>
  <c r="L32" i="12"/>
  <c r="J32" i="12"/>
  <c r="Q20" i="13"/>
  <c r="H32" i="12"/>
  <c r="F32" i="12"/>
  <c r="P30" i="12"/>
  <c r="N30" i="12"/>
  <c r="S19" i="13"/>
  <c r="L30" i="12"/>
  <c r="J30" i="12"/>
  <c r="H30" i="12"/>
  <c r="F30" i="12"/>
  <c r="P28" i="12"/>
  <c r="N28" i="12"/>
  <c r="L28" i="12"/>
  <c r="J28" i="12"/>
  <c r="Q18" i="13"/>
  <c r="H28" i="12"/>
  <c r="F28" i="12"/>
  <c r="P26" i="12"/>
  <c r="N26" i="12"/>
  <c r="L26" i="12"/>
  <c r="J26" i="12"/>
  <c r="Q17" i="13"/>
  <c r="H26" i="12"/>
  <c r="F26" i="12"/>
  <c r="P24" i="12"/>
  <c r="T16" i="13"/>
  <c r="N24" i="12"/>
  <c r="L24" i="12"/>
  <c r="J24" i="12"/>
  <c r="Q16" i="13"/>
  <c r="H24" i="12"/>
  <c r="F24" i="12"/>
  <c r="P22" i="12"/>
  <c r="N22" i="12"/>
  <c r="L22" i="12"/>
  <c r="J22" i="12"/>
  <c r="H22" i="12"/>
  <c r="F22" i="12"/>
  <c r="P20" i="12"/>
  <c r="N20" i="12"/>
  <c r="S14" i="13"/>
  <c r="L20" i="12"/>
  <c r="J20" i="12"/>
  <c r="H20" i="12"/>
  <c r="P18" i="12"/>
  <c r="N18" i="12"/>
  <c r="L18" i="12"/>
  <c r="J18" i="12"/>
  <c r="Q13" i="13"/>
  <c r="H18" i="12"/>
  <c r="F18" i="12"/>
  <c r="F20" i="12"/>
  <c r="P16" i="12"/>
  <c r="N16" i="12"/>
  <c r="L16" i="12"/>
  <c r="J16" i="12"/>
  <c r="Q12" i="13"/>
  <c r="H16" i="12"/>
  <c r="F16" i="12"/>
  <c r="P13" i="12"/>
  <c r="N13" i="12"/>
  <c r="L13" i="12"/>
  <c r="J13" i="12"/>
  <c r="H13" i="12"/>
  <c r="F13" i="12"/>
  <c r="P11" i="12"/>
  <c r="T24" i="13"/>
  <c r="N11" i="12"/>
  <c r="S24" i="13"/>
  <c r="L11" i="12"/>
  <c r="J11" i="12"/>
  <c r="Q24" i="13"/>
  <c r="H11" i="12"/>
  <c r="F11" i="12"/>
  <c r="H9" i="12"/>
  <c r="P9" i="12"/>
  <c r="N9" i="12"/>
  <c r="L9" i="12"/>
  <c r="J9" i="12"/>
  <c r="Q9" i="13"/>
  <c r="Q23" i="13"/>
  <c r="F9" i="12"/>
  <c r="D293" i="18"/>
  <c r="L290" i="18"/>
  <c r="H290" i="18"/>
  <c r="L283" i="18"/>
  <c r="L274" i="18"/>
  <c r="AU270" i="18"/>
  <c r="AW266" i="18"/>
  <c r="M266" i="18"/>
  <c r="AT253" i="18"/>
  <c r="W177" i="18"/>
  <c r="AA177" i="18"/>
  <c r="AB95" i="18"/>
  <c r="Z156" i="18"/>
  <c r="W168" i="18"/>
  <c r="Z169" i="18"/>
  <c r="F162" i="18"/>
  <c r="F161" i="18"/>
  <c r="F160" i="18"/>
  <c r="F159" i="18"/>
  <c r="T158" i="18"/>
  <c r="F158" i="18"/>
  <c r="F157" i="18"/>
  <c r="F156" i="18"/>
  <c r="F155" i="18"/>
  <c r="F154" i="18"/>
  <c r="F153" i="18"/>
  <c r="F152" i="18"/>
  <c r="AB151" i="18"/>
  <c r="F151" i="18"/>
  <c r="F150" i="18"/>
  <c r="L121" i="18"/>
  <c r="J121" i="18"/>
  <c r="AB121" i="18"/>
  <c r="F121" i="18"/>
  <c r="G121" i="18"/>
  <c r="K121" i="18"/>
  <c r="T120" i="18"/>
  <c r="AB92" i="18"/>
  <c r="Z153" i="18"/>
  <c r="G120" i="18"/>
  <c r="F120" i="18"/>
  <c r="L119" i="18"/>
  <c r="J119" i="18"/>
  <c r="F119" i="18"/>
  <c r="G119" i="18"/>
  <c r="K119" i="18"/>
  <c r="AB118" i="18"/>
  <c r="G118" i="18"/>
  <c r="F118" i="18"/>
  <c r="S114" i="18"/>
  <c r="T114" i="18"/>
  <c r="T113" i="18"/>
  <c r="S113" i="18"/>
  <c r="U102" i="18"/>
  <c r="J99" i="18"/>
  <c r="T154" i="18"/>
  <c r="J98" i="18"/>
  <c r="T153" i="18"/>
  <c r="BH95" i="18"/>
  <c r="BH93" i="18"/>
  <c r="S93" i="18"/>
  <c r="S92" i="18"/>
  <c r="I91" i="18"/>
  <c r="E91" i="18"/>
  <c r="S90" i="18"/>
  <c r="AB88" i="18"/>
  <c r="Z149" i="18"/>
  <c r="S88" i="18"/>
  <c r="S87" i="18"/>
  <c r="S86" i="18"/>
  <c r="S91" i="18"/>
  <c r="AA85" i="18"/>
  <c r="S85" i="18"/>
  <c r="Y81" i="18"/>
  <c r="AB94" i="18"/>
  <c r="Z155" i="18"/>
  <c r="S78" i="18"/>
  <c r="BL76" i="18"/>
  <c r="BO68" i="18"/>
  <c r="X68" i="18"/>
  <c r="Y65" i="18"/>
  <c r="V62" i="18"/>
  <c r="Y61" i="18"/>
  <c r="V58" i="18"/>
  <c r="BK52" i="18"/>
  <c r="BK50" i="18"/>
  <c r="BK48" i="18"/>
  <c r="Y38" i="18"/>
  <c r="Y108" i="18"/>
  <c r="Y35" i="18"/>
  <c r="Y106" i="18"/>
  <c r="AJ32" i="18"/>
  <c r="CB31" i="18"/>
  <c r="AJ31" i="18"/>
  <c r="CJ30" i="18"/>
  <c r="AJ30" i="18"/>
  <c r="CB28" i="18"/>
  <c r="CF31" i="18"/>
  <c r="DV21" i="18"/>
  <c r="BK53" i="18"/>
  <c r="DV20" i="18"/>
  <c r="CD20" i="18"/>
  <c r="DV19" i="18"/>
  <c r="AL19" i="18"/>
  <c r="AJ19" i="18"/>
  <c r="DV18" i="18"/>
  <c r="AL18" i="18"/>
  <c r="AJ18" i="18"/>
  <c r="BK51" i="18"/>
  <c r="DV17" i="18"/>
  <c r="AL17" i="18"/>
  <c r="AJ17" i="18"/>
  <c r="DV16" i="18"/>
  <c r="AL16" i="18"/>
  <c r="AJ16" i="18"/>
  <c r="DV15" i="18"/>
  <c r="BF15" i="18"/>
  <c r="BP15" i="18"/>
  <c r="AV15" i="18"/>
  <c r="AZ13" i="18"/>
  <c r="BE7" i="18"/>
  <c r="BE8" i="18"/>
  <c r="BE9" i="18"/>
  <c r="BE10" i="18"/>
  <c r="AJ13" i="18"/>
  <c r="DV12" i="18"/>
  <c r="AP10" i="18"/>
  <c r="BH61" i="18"/>
  <c r="CD12" i="18"/>
  <c r="DD13" i="18"/>
  <c r="AP12" i="18"/>
  <c r="AJ12" i="18"/>
  <c r="DV11" i="18"/>
  <c r="CJ25" i="18"/>
  <c r="AJ11" i="18"/>
  <c r="AJ10" i="18"/>
  <c r="DZ9" i="18"/>
  <c r="EJ4" i="18"/>
  <c r="CB9" i="18"/>
  <c r="CB17" i="18"/>
  <c r="CB25" i="18"/>
  <c r="AJ9" i="18"/>
  <c r="ED8" i="18"/>
  <c r="DV9" i="18"/>
  <c r="AX14" i="18"/>
  <c r="DO7" i="18"/>
  <c r="BD7" i="18"/>
  <c r="BD8" i="18"/>
  <c r="BD9" i="18"/>
  <c r="BD10" i="18"/>
  <c r="D293" i="17"/>
  <c r="L290" i="17"/>
  <c r="H290" i="17"/>
  <c r="L283" i="17"/>
  <c r="L274" i="17"/>
  <c r="AU270" i="17"/>
  <c r="AW266" i="17"/>
  <c r="M266" i="17"/>
  <c r="AT253" i="17"/>
  <c r="W177" i="17"/>
  <c r="AA177" i="17"/>
  <c r="AB95" i="17"/>
  <c r="Z156" i="17"/>
  <c r="W168" i="17"/>
  <c r="Z169" i="17"/>
  <c r="F162" i="17"/>
  <c r="F161" i="17"/>
  <c r="F160" i="17"/>
  <c r="F159" i="17"/>
  <c r="T158" i="17"/>
  <c r="F158" i="17"/>
  <c r="F157" i="17"/>
  <c r="F156" i="17"/>
  <c r="F155" i="17"/>
  <c r="F154" i="17"/>
  <c r="F153" i="17"/>
  <c r="F152" i="17"/>
  <c r="AB151" i="17"/>
  <c r="F151" i="17"/>
  <c r="F150" i="17"/>
  <c r="L121" i="17"/>
  <c r="J121" i="17"/>
  <c r="AB121" i="17"/>
  <c r="F121" i="17"/>
  <c r="G121" i="17"/>
  <c r="K121" i="17"/>
  <c r="T120" i="17"/>
  <c r="AB92" i="17"/>
  <c r="Z153" i="17"/>
  <c r="G120" i="17"/>
  <c r="F120" i="17"/>
  <c r="L119" i="17"/>
  <c r="J119" i="17"/>
  <c r="F119" i="17"/>
  <c r="G119" i="17"/>
  <c r="K119" i="17"/>
  <c r="AB118" i="17"/>
  <c r="G118" i="17"/>
  <c r="F118" i="17"/>
  <c r="S114" i="17"/>
  <c r="T114" i="17"/>
  <c r="T113" i="17"/>
  <c r="S113" i="17"/>
  <c r="U102" i="17"/>
  <c r="J99" i="17"/>
  <c r="T154" i="17"/>
  <c r="J98" i="17"/>
  <c r="T153" i="17"/>
  <c r="BH95" i="17"/>
  <c r="BH93" i="17"/>
  <c r="S93" i="17"/>
  <c r="S92" i="17"/>
  <c r="I91" i="17"/>
  <c r="E91" i="17"/>
  <c r="S90" i="17"/>
  <c r="S88" i="17"/>
  <c r="S87" i="17"/>
  <c r="S86" i="17"/>
  <c r="S91" i="17"/>
  <c r="AA85" i="17"/>
  <c r="S85" i="17"/>
  <c r="Y81" i="17"/>
  <c r="AB94" i="17"/>
  <c r="Z155" i="17"/>
  <c r="S78" i="17"/>
  <c r="AB88" i="17"/>
  <c r="Z149" i="17"/>
  <c r="BL76" i="17"/>
  <c r="BO68" i="17"/>
  <c r="X68" i="17"/>
  <c r="Y65" i="17"/>
  <c r="V62" i="17"/>
  <c r="Y61" i="17"/>
  <c r="V58" i="17"/>
  <c r="BK52" i="17"/>
  <c r="BK50" i="17"/>
  <c r="BK48" i="17"/>
  <c r="Y38" i="17"/>
  <c r="Y108" i="17"/>
  <c r="Y35" i="17"/>
  <c r="Y106" i="17"/>
  <c r="AJ32" i="17"/>
  <c r="CB31" i="17"/>
  <c r="AJ31" i="17"/>
  <c r="CJ30" i="17"/>
  <c r="AJ30" i="17"/>
  <c r="CB28" i="17"/>
  <c r="CF31" i="17"/>
  <c r="DV21" i="17"/>
  <c r="BK53" i="17"/>
  <c r="DV20" i="17"/>
  <c r="CD20" i="17"/>
  <c r="DV19" i="17"/>
  <c r="AL19" i="17"/>
  <c r="AJ19" i="17"/>
  <c r="DV18" i="17"/>
  <c r="AL18" i="17"/>
  <c r="AJ18" i="17"/>
  <c r="BK51" i="17"/>
  <c r="DV17" i="17"/>
  <c r="AL17" i="17"/>
  <c r="AJ17" i="17"/>
  <c r="DV16" i="17"/>
  <c r="AL16" i="17"/>
  <c r="AJ16" i="17"/>
  <c r="DV15" i="17"/>
  <c r="AV15" i="17"/>
  <c r="BD7" i="17"/>
  <c r="BD8" i="17"/>
  <c r="BD9" i="17"/>
  <c r="BD10" i="17"/>
  <c r="AZ13" i="17"/>
  <c r="BE7" i="17"/>
  <c r="BE8" i="17"/>
  <c r="BE9" i="17"/>
  <c r="BE10" i="17"/>
  <c r="AJ13" i="17"/>
  <c r="DV12" i="17"/>
  <c r="AP10" i="17"/>
  <c r="BH61" i="17"/>
  <c r="CD12" i="17"/>
  <c r="DD13" i="17"/>
  <c r="AP12" i="17"/>
  <c r="AJ12" i="17"/>
  <c r="DV11" i="17"/>
  <c r="AJ11" i="17"/>
  <c r="AJ10" i="17"/>
  <c r="DZ9" i="17"/>
  <c r="EJ4" i="17"/>
  <c r="CB9" i="17"/>
  <c r="CB17" i="17"/>
  <c r="CB25" i="17"/>
  <c r="AJ9" i="17"/>
  <c r="ED8" i="17"/>
  <c r="DV9" i="17"/>
  <c r="DO7" i="17"/>
  <c r="D293" i="16"/>
  <c r="L290" i="16"/>
  <c r="H290" i="16"/>
  <c r="L283" i="16"/>
  <c r="L274" i="16"/>
  <c r="AU270" i="16"/>
  <c r="AW266" i="16"/>
  <c r="M266" i="16"/>
  <c r="AT253" i="16"/>
  <c r="AV252" i="16"/>
  <c r="W177" i="16"/>
  <c r="AA177" i="16"/>
  <c r="AB95" i="16"/>
  <c r="Z156" i="16"/>
  <c r="Z169" i="16"/>
  <c r="W168" i="16"/>
  <c r="F162" i="16"/>
  <c r="F161" i="16"/>
  <c r="AB160" i="16"/>
  <c r="F160" i="16"/>
  <c r="F159" i="16"/>
  <c r="T158" i="16"/>
  <c r="F158" i="16"/>
  <c r="F157" i="16"/>
  <c r="AB156" i="16"/>
  <c r="F156" i="16"/>
  <c r="F155" i="16"/>
  <c r="F154" i="16"/>
  <c r="F153" i="16"/>
  <c r="F152" i="16"/>
  <c r="AB151" i="16"/>
  <c r="F151" i="16"/>
  <c r="F150" i="16"/>
  <c r="L121" i="16"/>
  <c r="J121" i="16"/>
  <c r="AB121" i="16"/>
  <c r="F121" i="16"/>
  <c r="G121" i="16"/>
  <c r="K121" i="16"/>
  <c r="T120" i="16"/>
  <c r="G120" i="16"/>
  <c r="F120" i="16"/>
  <c r="L119" i="16"/>
  <c r="J119" i="16"/>
  <c r="F119" i="16"/>
  <c r="G119" i="16"/>
  <c r="K119" i="16"/>
  <c r="AB118" i="16"/>
  <c r="G118" i="16"/>
  <c r="F118" i="16"/>
  <c r="S114" i="16"/>
  <c r="T114" i="16"/>
  <c r="T113" i="16"/>
  <c r="S113" i="16"/>
  <c r="F98" i="16"/>
  <c r="U107" i="16"/>
  <c r="U102" i="16"/>
  <c r="L101" i="16"/>
  <c r="J101" i="16"/>
  <c r="Y80" i="16"/>
  <c r="AB93" i="16"/>
  <c r="Z154" i="16"/>
  <c r="F101" i="16"/>
  <c r="T152" i="16"/>
  <c r="T160" i="16"/>
  <c r="J99" i="16"/>
  <c r="T154" i="16"/>
  <c r="T151" i="16"/>
  <c r="J98" i="16"/>
  <c r="T153" i="16"/>
  <c r="AX251" i="16"/>
  <c r="S96" i="16"/>
  <c r="BH95" i="16"/>
  <c r="AB94" i="16"/>
  <c r="Z155" i="16"/>
  <c r="BH93" i="16"/>
  <c r="S93" i="16"/>
  <c r="AB92" i="16"/>
  <c r="Z153" i="16"/>
  <c r="I91" i="16"/>
  <c r="E91" i="16"/>
  <c r="S90" i="16"/>
  <c r="S88" i="16"/>
  <c r="S87" i="16"/>
  <c r="S92" i="16"/>
  <c r="S86" i="16"/>
  <c r="S91" i="16"/>
  <c r="AA85" i="16"/>
  <c r="S85" i="16"/>
  <c r="Y81" i="16"/>
  <c r="N81" i="16"/>
  <c r="S78" i="16"/>
  <c r="AB88" i="16"/>
  <c r="Z149" i="16"/>
  <c r="BL76" i="16"/>
  <c r="N72" i="16"/>
  <c r="BO68" i="16"/>
  <c r="X68" i="16"/>
  <c r="Y65" i="16"/>
  <c r="V62" i="16"/>
  <c r="Y61" i="16"/>
  <c r="V58" i="16"/>
  <c r="BK53" i="16"/>
  <c r="BK52" i="16"/>
  <c r="BK50" i="16"/>
  <c r="BK48" i="16"/>
  <c r="Y52" i="16"/>
  <c r="AB96" i="16"/>
  <c r="Z157" i="16"/>
  <c r="Y38" i="16"/>
  <c r="Y108" i="16"/>
  <c r="Y35" i="16"/>
  <c r="Y106" i="16"/>
  <c r="AJ32" i="16"/>
  <c r="BF48" i="16"/>
  <c r="CB31" i="16"/>
  <c r="AJ31" i="16"/>
  <c r="CJ30" i="16"/>
  <c r="AJ30" i="16"/>
  <c r="CB28" i="16"/>
  <c r="CF31" i="16"/>
  <c r="CJ25" i="16"/>
  <c r="DV21" i="16"/>
  <c r="DV20" i="16"/>
  <c r="CD20" i="16"/>
  <c r="DV19" i="16"/>
  <c r="AL19" i="16"/>
  <c r="AJ19" i="16"/>
  <c r="DV18" i="16"/>
  <c r="AL18" i="16"/>
  <c r="AJ18" i="16"/>
  <c r="BK51" i="16"/>
  <c r="BK49" i="16"/>
  <c r="DV17" i="16"/>
  <c r="CF9" i="16"/>
  <c r="CF17" i="16"/>
  <c r="CF25" i="16"/>
  <c r="AL17" i="16"/>
  <c r="AJ17" i="16"/>
  <c r="DV16" i="16"/>
  <c r="AL16" i="16"/>
  <c r="AJ16" i="16"/>
  <c r="DV15" i="16"/>
  <c r="DV23" i="16"/>
  <c r="BP15" i="16"/>
  <c r="BF15" i="16"/>
  <c r="AV15" i="16"/>
  <c r="DB14" i="16"/>
  <c r="CQ14" i="16"/>
  <c r="AX14" i="16"/>
  <c r="AY18" i="16"/>
  <c r="AP14" i="16"/>
  <c r="AZ13" i="16"/>
  <c r="BE7" i="16"/>
  <c r="BE8" i="16"/>
  <c r="BE9" i="16"/>
  <c r="BE10" i="16"/>
  <c r="AJ13" i="16"/>
  <c r="DV12" i="16"/>
  <c r="CD12" i="16"/>
  <c r="DD13" i="16"/>
  <c r="AP12" i="16"/>
  <c r="AJ12" i="16"/>
  <c r="EB11" i="16"/>
  <c r="DV11" i="16"/>
  <c r="DV28" i="16"/>
  <c r="EK32" i="16"/>
  <c r="AJ11" i="16"/>
  <c r="AP10" i="16"/>
  <c r="BH61" i="16"/>
  <c r="AJ10" i="16"/>
  <c r="DZ9" i="16"/>
  <c r="EJ4" i="16"/>
  <c r="CB9" i="16"/>
  <c r="CB17" i="16"/>
  <c r="CB25" i="16"/>
  <c r="AP9" i="16"/>
  <c r="BK58" i="16"/>
  <c r="AJ9" i="16"/>
  <c r="ED8" i="16"/>
  <c r="DM8" i="16"/>
  <c r="DO7" i="16"/>
  <c r="BD7" i="16"/>
  <c r="BD8" i="16"/>
  <c r="BD9" i="16"/>
  <c r="BD10" i="16"/>
  <c r="BC7" i="16"/>
  <c r="BC8" i="16"/>
  <c r="BC9" i="16"/>
  <c r="BC10" i="16"/>
  <c r="D293" i="15"/>
  <c r="L290" i="15"/>
  <c r="H290" i="15"/>
  <c r="L283" i="15"/>
  <c r="L274" i="15"/>
  <c r="AU270" i="15"/>
  <c r="AW266" i="15"/>
  <c r="M266" i="15"/>
  <c r="AT253" i="15"/>
  <c r="AV252" i="15"/>
  <c r="W177" i="15"/>
  <c r="AA177" i="15"/>
  <c r="AB95" i="15"/>
  <c r="Z156" i="15"/>
  <c r="Z169" i="15"/>
  <c r="W168" i="15"/>
  <c r="F162" i="15"/>
  <c r="F161" i="15"/>
  <c r="AB160" i="15"/>
  <c r="F160" i="15"/>
  <c r="F159" i="15"/>
  <c r="T158" i="15"/>
  <c r="F158" i="15"/>
  <c r="F157" i="15"/>
  <c r="AB156" i="15"/>
  <c r="F156" i="15"/>
  <c r="F155" i="15"/>
  <c r="F154" i="15"/>
  <c r="F153" i="15"/>
  <c r="F152" i="15"/>
  <c r="AB151" i="15"/>
  <c r="F151" i="15"/>
  <c r="F150" i="15"/>
  <c r="L121" i="15"/>
  <c r="J121" i="15"/>
  <c r="AB121" i="15"/>
  <c r="F121" i="15"/>
  <c r="G121" i="15"/>
  <c r="K121" i="15"/>
  <c r="T120" i="15"/>
  <c r="G120" i="15"/>
  <c r="F120" i="15"/>
  <c r="L119" i="15"/>
  <c r="J119" i="15"/>
  <c r="F119" i="15"/>
  <c r="G119" i="15"/>
  <c r="K119" i="15"/>
  <c r="AB118" i="15"/>
  <c r="G118" i="15"/>
  <c r="F118" i="15"/>
  <c r="S114" i="15"/>
  <c r="T114" i="15"/>
  <c r="T113" i="15"/>
  <c r="S113" i="15"/>
  <c r="U102" i="15"/>
  <c r="L101" i="15"/>
  <c r="S96" i="15"/>
  <c r="J101" i="15"/>
  <c r="Y80" i="15"/>
  <c r="AB93" i="15"/>
  <c r="Z154" i="15"/>
  <c r="T152" i="15"/>
  <c r="T160" i="15"/>
  <c r="J99" i="15"/>
  <c r="T154" i="15"/>
  <c r="F99" i="15"/>
  <c r="T151" i="15"/>
  <c r="J98" i="15"/>
  <c r="T153" i="15"/>
  <c r="F98" i="15"/>
  <c r="AX251" i="15"/>
  <c r="BH95" i="15"/>
  <c r="AB94" i="15"/>
  <c r="Z155" i="15"/>
  <c r="BH93" i="15"/>
  <c r="S93" i="15"/>
  <c r="AB92" i="15"/>
  <c r="Z153" i="15"/>
  <c r="I91" i="15"/>
  <c r="E91" i="15"/>
  <c r="S90" i="15"/>
  <c r="S88" i="15"/>
  <c r="S87" i="15"/>
  <c r="S92" i="15"/>
  <c r="S86" i="15"/>
  <c r="S91" i="15"/>
  <c r="AA85" i="15"/>
  <c r="S85" i="15"/>
  <c r="Y81" i="15"/>
  <c r="N81" i="15"/>
  <c r="S78" i="15"/>
  <c r="AB88" i="15"/>
  <c r="Z149" i="15"/>
  <c r="BL76" i="15"/>
  <c r="N72" i="15"/>
  <c r="BO68" i="15"/>
  <c r="X68" i="15"/>
  <c r="Y65" i="15"/>
  <c r="V62" i="15"/>
  <c r="Y61" i="15"/>
  <c r="V58" i="15"/>
  <c r="BK53" i="15"/>
  <c r="BK52" i="15"/>
  <c r="BK50" i="15"/>
  <c r="BK48" i="15"/>
  <c r="Y52" i="15"/>
  <c r="AB96" i="15"/>
  <c r="Z157" i="15"/>
  <c r="Y38" i="15"/>
  <c r="Y108" i="15"/>
  <c r="Y35" i="15"/>
  <c r="Y106" i="15"/>
  <c r="AJ32" i="15"/>
  <c r="CB31" i="15"/>
  <c r="AJ31" i="15"/>
  <c r="CJ30" i="15"/>
  <c r="AJ30" i="15"/>
  <c r="CB28" i="15"/>
  <c r="CJ29" i="15"/>
  <c r="CJ25" i="15"/>
  <c r="DV21" i="15"/>
  <c r="DV20" i="15"/>
  <c r="CD20" i="15"/>
  <c r="DV19" i="15"/>
  <c r="AL19" i="15"/>
  <c r="AJ19" i="15"/>
  <c r="DV18" i="15"/>
  <c r="AL18" i="15"/>
  <c r="AJ18" i="15"/>
  <c r="BK51" i="15"/>
  <c r="BK49" i="15"/>
  <c r="DV17" i="15"/>
  <c r="DV23" i="15"/>
  <c r="AL17" i="15"/>
  <c r="AJ17" i="15"/>
  <c r="DV16" i="15"/>
  <c r="AL16" i="15"/>
  <c r="AJ16" i="15"/>
  <c r="DV15" i="15"/>
  <c r="BP15" i="15"/>
  <c r="BF15" i="15"/>
  <c r="AV15" i="15"/>
  <c r="CF9" i="15"/>
  <c r="DB14" i="15"/>
  <c r="CQ14" i="15"/>
  <c r="AX14" i="15"/>
  <c r="AY18" i="15"/>
  <c r="AP14" i="15"/>
  <c r="AZ13" i="15"/>
  <c r="BE7" i="15"/>
  <c r="BE8" i="15"/>
  <c r="BE9" i="15"/>
  <c r="BE10" i="15"/>
  <c r="AJ13" i="15"/>
  <c r="DV12" i="15"/>
  <c r="EB11" i="15"/>
  <c r="CD12" i="15"/>
  <c r="DD13" i="15"/>
  <c r="AP12" i="15"/>
  <c r="AJ12" i="15"/>
  <c r="DV11" i="15"/>
  <c r="DV28" i="15"/>
  <c r="EK32" i="15"/>
  <c r="AJ11" i="15"/>
  <c r="AP10" i="15"/>
  <c r="BH61" i="15"/>
  <c r="AJ10" i="15"/>
  <c r="DZ9" i="15"/>
  <c r="EJ4" i="15"/>
  <c r="CF17" i="15"/>
  <c r="CF25" i="15"/>
  <c r="CB9" i="15"/>
  <c r="CB17" i="15"/>
  <c r="CB25" i="15"/>
  <c r="AP9" i="15"/>
  <c r="BK58" i="15"/>
  <c r="AJ9" i="15"/>
  <c r="ED8" i="15"/>
  <c r="DM8" i="15"/>
  <c r="DO7" i="15"/>
  <c r="BD7" i="15"/>
  <c r="BD8" i="15"/>
  <c r="BD9" i="15"/>
  <c r="BD10" i="15"/>
  <c r="BC7" i="15"/>
  <c r="BC8" i="15"/>
  <c r="BC9" i="15"/>
  <c r="BC10" i="15"/>
  <c r="D293" i="14"/>
  <c r="L290" i="14"/>
  <c r="H290" i="14"/>
  <c r="L283" i="14"/>
  <c r="L274" i="14"/>
  <c r="AU270" i="14"/>
  <c r="AW266" i="14"/>
  <c r="M266" i="14"/>
  <c r="AT253" i="14"/>
  <c r="W177" i="14"/>
  <c r="AA177" i="14"/>
  <c r="AB95" i="14"/>
  <c r="Z156" i="14"/>
  <c r="Z169" i="14"/>
  <c r="W168" i="14"/>
  <c r="F162" i="14"/>
  <c r="F161" i="14"/>
  <c r="AB160" i="14"/>
  <c r="F160" i="14"/>
  <c r="F159" i="14"/>
  <c r="T158" i="14"/>
  <c r="F158" i="14"/>
  <c r="F157" i="14"/>
  <c r="AB156" i="14"/>
  <c r="F156" i="14"/>
  <c r="F155" i="14"/>
  <c r="F154" i="14"/>
  <c r="F153" i="14"/>
  <c r="F152" i="14"/>
  <c r="AB151" i="14"/>
  <c r="F151" i="14"/>
  <c r="F150" i="14"/>
  <c r="L121" i="14"/>
  <c r="J121" i="14"/>
  <c r="AB121" i="14"/>
  <c r="F121" i="14"/>
  <c r="G121" i="14"/>
  <c r="K121" i="14"/>
  <c r="T120" i="14"/>
  <c r="G120" i="14"/>
  <c r="F120" i="14"/>
  <c r="L119" i="14"/>
  <c r="J119" i="14"/>
  <c r="F119" i="14"/>
  <c r="G119" i="14"/>
  <c r="K119" i="14"/>
  <c r="AB118" i="14"/>
  <c r="G118" i="14"/>
  <c r="F118" i="14"/>
  <c r="S114" i="14"/>
  <c r="T114" i="14"/>
  <c r="T113" i="14"/>
  <c r="S113" i="14"/>
  <c r="U102" i="14"/>
  <c r="L101" i="14"/>
  <c r="J101" i="14"/>
  <c r="T152" i="14"/>
  <c r="F100" i="14"/>
  <c r="T160" i="14"/>
  <c r="J99" i="14"/>
  <c r="T154" i="14"/>
  <c r="F99" i="14"/>
  <c r="T151" i="14"/>
  <c r="J98" i="14"/>
  <c r="T153" i="14"/>
  <c r="AX251" i="14"/>
  <c r="S96" i="14"/>
  <c r="BH95" i="14"/>
  <c r="AB94" i="14"/>
  <c r="Z155" i="14"/>
  <c r="BH93" i="14"/>
  <c r="S93" i="14"/>
  <c r="AB92" i="14"/>
  <c r="Z153" i="14"/>
  <c r="S92" i="14"/>
  <c r="I91" i="14"/>
  <c r="E91" i="14"/>
  <c r="S90" i="14"/>
  <c r="AB88" i="14"/>
  <c r="Z149" i="14"/>
  <c r="S88" i="14"/>
  <c r="S87" i="14"/>
  <c r="S86" i="14"/>
  <c r="S91" i="14"/>
  <c r="AA85" i="14"/>
  <c r="S85" i="14"/>
  <c r="Y81" i="14"/>
  <c r="N81" i="14"/>
  <c r="S78" i="14"/>
  <c r="BL76" i="14"/>
  <c r="N72" i="14"/>
  <c r="BO68" i="14"/>
  <c r="X68" i="14"/>
  <c r="Y65" i="14"/>
  <c r="V62" i="14"/>
  <c r="Y61" i="14"/>
  <c r="V58" i="14"/>
  <c r="BK53" i="14"/>
  <c r="BK52" i="14"/>
  <c r="BK50" i="14"/>
  <c r="BK48" i="14"/>
  <c r="Y38" i="14"/>
  <c r="Y108" i="14"/>
  <c r="Y35" i="14"/>
  <c r="Y106" i="14"/>
  <c r="AJ32" i="14"/>
  <c r="CB31" i="14"/>
  <c r="CJ30" i="14"/>
  <c r="AJ31" i="14"/>
  <c r="AJ30" i="14"/>
  <c r="DV28" i="14"/>
  <c r="EK32" i="14"/>
  <c r="CB28" i="14"/>
  <c r="CJ29" i="14"/>
  <c r="DV27" i="14"/>
  <c r="EK36" i="14"/>
  <c r="CJ25" i="14"/>
  <c r="CF9" i="14"/>
  <c r="CF17" i="14"/>
  <c r="CF25" i="14"/>
  <c r="DV21" i="14"/>
  <c r="DV20" i="14"/>
  <c r="CD20" i="14"/>
  <c r="DV19" i="14"/>
  <c r="AL19" i="14"/>
  <c r="AJ19" i="14"/>
  <c r="DV18" i="14"/>
  <c r="AX14" i="14"/>
  <c r="AY18" i="14"/>
  <c r="AP14" i="14"/>
  <c r="AL18" i="14"/>
  <c r="AJ18" i="14"/>
  <c r="BK51" i="14"/>
  <c r="BK49" i="14"/>
  <c r="DV17" i="14"/>
  <c r="AL17" i="14"/>
  <c r="AJ17" i="14"/>
  <c r="DV16" i="14"/>
  <c r="AL16" i="14"/>
  <c r="AJ16" i="14"/>
  <c r="DV15" i="14"/>
  <c r="DV23" i="14"/>
  <c r="BF15" i="14"/>
  <c r="AV15" i="14"/>
  <c r="DB14" i="14"/>
  <c r="CQ14" i="14"/>
  <c r="BH14" i="14"/>
  <c r="BR14" i="14"/>
  <c r="AZ13" i="14"/>
  <c r="BE7" i="14"/>
  <c r="BE8" i="14"/>
  <c r="BE9" i="14"/>
  <c r="BE10" i="14"/>
  <c r="AJ13" i="14"/>
  <c r="DV12" i="14"/>
  <c r="CD12" i="14"/>
  <c r="DD13" i="14"/>
  <c r="AP12" i="14"/>
  <c r="AJ12" i="14"/>
  <c r="EB11" i="14"/>
  <c r="DV11" i="14"/>
  <c r="EK31" i="14"/>
  <c r="AJ11" i="14"/>
  <c r="AP10" i="14"/>
  <c r="BH61" i="14"/>
  <c r="AJ10" i="14"/>
  <c r="DZ9" i="14"/>
  <c r="EJ4" i="14"/>
  <c r="CB9" i="14"/>
  <c r="CB17" i="14"/>
  <c r="CB25" i="14"/>
  <c r="AP9" i="14"/>
  <c r="BK58" i="14"/>
  <c r="AJ9" i="14"/>
  <c r="ED8" i="14"/>
  <c r="DM8" i="14"/>
  <c r="BD7" i="14"/>
  <c r="BD8" i="14"/>
  <c r="BD9" i="14"/>
  <c r="BD10" i="14"/>
  <c r="BC7" i="14"/>
  <c r="BC8" i="14"/>
  <c r="BC9" i="14"/>
  <c r="BC10" i="14"/>
  <c r="S47" i="13"/>
  <c r="P47" i="13"/>
  <c r="O47" i="13"/>
  <c r="M47" i="13"/>
  <c r="T46" i="13"/>
  <c r="R46" i="13"/>
  <c r="P46" i="13"/>
  <c r="O46" i="13"/>
  <c r="M46" i="13"/>
  <c r="T45" i="13"/>
  <c r="S45" i="13"/>
  <c r="R45" i="13"/>
  <c r="P45" i="13"/>
  <c r="O45" i="13"/>
  <c r="M45" i="13"/>
  <c r="T44" i="13"/>
  <c r="S44" i="13"/>
  <c r="P44" i="13"/>
  <c r="O44" i="13"/>
  <c r="M44" i="13"/>
  <c r="T43" i="13"/>
  <c r="S43" i="13"/>
  <c r="R43" i="13"/>
  <c r="O43" i="13"/>
  <c r="M43" i="13"/>
  <c r="S42" i="13"/>
  <c r="R42" i="13"/>
  <c r="P42" i="13"/>
  <c r="O42" i="13"/>
  <c r="M42" i="13"/>
  <c r="T41" i="13"/>
  <c r="S41" i="13"/>
  <c r="R41" i="13"/>
  <c r="P41" i="13"/>
  <c r="M41" i="13"/>
  <c r="T40" i="13"/>
  <c r="S40" i="13"/>
  <c r="R40" i="13"/>
  <c r="P40" i="13"/>
  <c r="O40" i="13"/>
  <c r="M40" i="13"/>
  <c r="S39" i="13"/>
  <c r="R39" i="13"/>
  <c r="P39" i="13"/>
  <c r="O39" i="13"/>
  <c r="M39" i="13"/>
  <c r="T38" i="13"/>
  <c r="S38" i="13"/>
  <c r="Q38" i="13"/>
  <c r="P38" i="13"/>
  <c r="O38" i="13"/>
  <c r="M38" i="13"/>
  <c r="T37" i="13"/>
  <c r="S37" i="13"/>
  <c r="R37" i="13"/>
  <c r="P37" i="13"/>
  <c r="O37" i="13"/>
  <c r="M37" i="13"/>
  <c r="T36" i="13"/>
  <c r="S36" i="13"/>
  <c r="R36" i="13"/>
  <c r="P36" i="13"/>
  <c r="O36" i="13"/>
  <c r="M36" i="13"/>
  <c r="T35" i="13"/>
  <c r="S35" i="13"/>
  <c r="R35" i="13"/>
  <c r="P35" i="13"/>
  <c r="M35" i="13"/>
  <c r="Q31" i="13"/>
  <c r="P31" i="13"/>
  <c r="O31" i="13"/>
  <c r="M31" i="13"/>
  <c r="P30" i="13"/>
  <c r="O30" i="13"/>
  <c r="M30" i="13"/>
  <c r="R29" i="13"/>
  <c r="M29" i="13"/>
  <c r="M28" i="13"/>
  <c r="Q27" i="13"/>
  <c r="M27" i="13"/>
  <c r="M26" i="13"/>
  <c r="M25" i="13"/>
  <c r="R24" i="13"/>
  <c r="P24" i="13"/>
  <c r="O24" i="13"/>
  <c r="M24" i="13"/>
  <c r="S20" i="13"/>
  <c r="R20" i="13"/>
  <c r="P20" i="13"/>
  <c r="O20" i="13"/>
  <c r="M20" i="13"/>
  <c r="T19" i="13"/>
  <c r="R19" i="13"/>
  <c r="Q19" i="13"/>
  <c r="P19" i="13"/>
  <c r="O19" i="13"/>
  <c r="M19" i="13"/>
  <c r="T18" i="13"/>
  <c r="S18" i="13"/>
  <c r="R18" i="13"/>
  <c r="P18" i="13"/>
  <c r="O18" i="13"/>
  <c r="M18" i="13"/>
  <c r="T17" i="13"/>
  <c r="S17" i="13"/>
  <c r="R17" i="13"/>
  <c r="P17" i="13"/>
  <c r="O17" i="13"/>
  <c r="M17" i="13"/>
  <c r="S16" i="13"/>
  <c r="R16" i="13"/>
  <c r="P16" i="13"/>
  <c r="O16" i="13"/>
  <c r="M16" i="13"/>
  <c r="T15" i="13"/>
  <c r="S15" i="13"/>
  <c r="R15" i="13"/>
  <c r="Q15" i="13"/>
  <c r="P15" i="13"/>
  <c r="O15" i="13"/>
  <c r="M15" i="13"/>
  <c r="T14" i="13"/>
  <c r="R14" i="13"/>
  <c r="Q14" i="13"/>
  <c r="P14" i="13"/>
  <c r="O14" i="13"/>
  <c r="M14" i="13"/>
  <c r="T13" i="13"/>
  <c r="S13" i="13"/>
  <c r="R13" i="13"/>
  <c r="P13" i="13"/>
  <c r="O13" i="13"/>
  <c r="M13" i="13"/>
  <c r="T12" i="13"/>
  <c r="S12" i="13"/>
  <c r="R12" i="13"/>
  <c r="P12" i="13"/>
  <c r="O12" i="13"/>
  <c r="M12" i="13"/>
  <c r="T9" i="13"/>
  <c r="T23" i="13"/>
  <c r="S9" i="13"/>
  <c r="S34" i="13"/>
  <c r="R9" i="13"/>
  <c r="R11" i="13"/>
  <c r="P9" i="13"/>
  <c r="P23" i="13"/>
  <c r="O9" i="13"/>
  <c r="O34" i="13"/>
  <c r="BF15" i="17"/>
  <c r="BP15" i="17"/>
  <c r="H37" i="12"/>
  <c r="P26" i="13"/>
  <c r="U107" i="14"/>
  <c r="H39" i="12"/>
  <c r="P27" i="13"/>
  <c r="J35" i="12"/>
  <c r="Q25" i="13"/>
  <c r="U107" i="15"/>
  <c r="J37" i="12"/>
  <c r="Q26" i="13"/>
  <c r="L41" i="12"/>
  <c r="R28" i="13"/>
  <c r="L35" i="12"/>
  <c r="R25" i="13"/>
  <c r="AY18" i="18"/>
  <c r="AP14" i="18"/>
  <c r="BC7" i="18"/>
  <c r="BC8" i="18"/>
  <c r="BC9" i="18"/>
  <c r="BC10" i="18"/>
  <c r="N9" i="18"/>
  <c r="CF9" i="18"/>
  <c r="AP9" i="18"/>
  <c r="BK58" i="18"/>
  <c r="BK56" i="18"/>
  <c r="P43" i="12"/>
  <c r="T29" i="13"/>
  <c r="P45" i="12"/>
  <c r="T30" i="13"/>
  <c r="BK49" i="18"/>
  <c r="DV23" i="18"/>
  <c r="N81" i="18"/>
  <c r="DV23" i="17"/>
  <c r="N81" i="17"/>
  <c r="BK49" i="17"/>
  <c r="BF48" i="17"/>
  <c r="N45" i="12"/>
  <c r="S30" i="13"/>
  <c r="AP9" i="17"/>
  <c r="BK58" i="17"/>
  <c r="CJ25" i="17"/>
  <c r="N43" i="12"/>
  <c r="S29" i="13"/>
  <c r="CF9" i="17"/>
  <c r="N9" i="17"/>
  <c r="Y48" i="17"/>
  <c r="AX14" i="17"/>
  <c r="T34" i="13"/>
  <c r="S11" i="13"/>
  <c r="R23" i="13"/>
  <c r="BH45" i="18"/>
  <c r="BF47" i="18"/>
  <c r="Y41" i="18"/>
  <c r="Y43" i="18"/>
  <c r="AB91" i="18"/>
  <c r="Z152" i="18"/>
  <c r="CM8" i="18"/>
  <c r="CO8" i="18"/>
  <c r="CJ31" i="18"/>
  <c r="BF48" i="18"/>
  <c r="CS13" i="18"/>
  <c r="CO15" i="18"/>
  <c r="CF28" i="18"/>
  <c r="CJ28" i="18"/>
  <c r="CJ29" i="18"/>
  <c r="DZ11" i="18"/>
  <c r="BH14" i="18"/>
  <c r="EK31" i="18"/>
  <c r="CM8" i="17"/>
  <c r="CO8" i="17"/>
  <c r="CJ31" i="17"/>
  <c r="BH45" i="17"/>
  <c r="BF47" i="17"/>
  <c r="BK56" i="17"/>
  <c r="EI9" i="17"/>
  <c r="EM13" i="17"/>
  <c r="CS13" i="17"/>
  <c r="CO15" i="17"/>
  <c r="CF28" i="17"/>
  <c r="CJ28" i="17"/>
  <c r="CJ29" i="17"/>
  <c r="DZ11" i="17"/>
  <c r="EK31" i="17"/>
  <c r="Y41" i="17"/>
  <c r="Y43" i="17"/>
  <c r="AB91" i="17"/>
  <c r="Z152" i="17"/>
  <c r="CM8" i="16"/>
  <c r="CO8" i="16"/>
  <c r="CJ31" i="16"/>
  <c r="BH45" i="16"/>
  <c r="BF47" i="16"/>
  <c r="BK56" i="16"/>
  <c r="EI12" i="16"/>
  <c r="EM16" i="16"/>
  <c r="EI9" i="16"/>
  <c r="EM13" i="16"/>
  <c r="AU258" i="16"/>
  <c r="X72" i="16"/>
  <c r="X78" i="16"/>
  <c r="AB90" i="16"/>
  <c r="Z151" i="16"/>
  <c r="Y41" i="16"/>
  <c r="Y43" i="16"/>
  <c r="AB91" i="16"/>
  <c r="Z152" i="16"/>
  <c r="EL21" i="16"/>
  <c r="EL26" i="16"/>
  <c r="AB89" i="16"/>
  <c r="Z150" i="16"/>
  <c r="T54" i="16"/>
  <c r="CS13" i="16"/>
  <c r="CO15" i="16"/>
  <c r="DV26" i="16"/>
  <c r="CF28" i="16"/>
  <c r="CJ28" i="16"/>
  <c r="CJ29" i="16"/>
  <c r="L99" i="16"/>
  <c r="T159" i="16"/>
  <c r="DZ11" i="16"/>
  <c r="BH14" i="16"/>
  <c r="EK31" i="16"/>
  <c r="DV27" i="16"/>
  <c r="EK36" i="16"/>
  <c r="BK56" i="15"/>
  <c r="BH45" i="15"/>
  <c r="BF47" i="15"/>
  <c r="X72" i="15"/>
  <c r="X78" i="15"/>
  <c r="AB90" i="15"/>
  <c r="Z151" i="15"/>
  <c r="EL21" i="15"/>
  <c r="EL26" i="15"/>
  <c r="AB89" i="15"/>
  <c r="Z150" i="15"/>
  <c r="Y41" i="15"/>
  <c r="Y43" i="15"/>
  <c r="AB91" i="15"/>
  <c r="Z152" i="15"/>
  <c r="EI12" i="15"/>
  <c r="EM16" i="15"/>
  <c r="EI9" i="15"/>
  <c r="EM13" i="15"/>
  <c r="BF48" i="15"/>
  <c r="AU258" i="15"/>
  <c r="CS13" i="15"/>
  <c r="CO15" i="15"/>
  <c r="DV26" i="15"/>
  <c r="L99" i="15"/>
  <c r="DZ11" i="15"/>
  <c r="BH14" i="15"/>
  <c r="EK31" i="15"/>
  <c r="CF31" i="15"/>
  <c r="CF28" i="15"/>
  <c r="CJ28" i="15"/>
  <c r="T159" i="15"/>
  <c r="EG6" i="15"/>
  <c r="DV27" i="15"/>
  <c r="EK36" i="15"/>
  <c r="BH45" i="14"/>
  <c r="BF47" i="14"/>
  <c r="BK56" i="14"/>
  <c r="EI12" i="14"/>
  <c r="EM16" i="14"/>
  <c r="EI9" i="14"/>
  <c r="EM13" i="14"/>
  <c r="BF48" i="14"/>
  <c r="DO7" i="14"/>
  <c r="Y80" i="14"/>
  <c r="AB93" i="14"/>
  <c r="Z154" i="14"/>
  <c r="AV252" i="14"/>
  <c r="AU258" i="14"/>
  <c r="Y52" i="14"/>
  <c r="AB96" i="14"/>
  <c r="Z157" i="14"/>
  <c r="Y41" i="14"/>
  <c r="Y43" i="14"/>
  <c r="AB91" i="14"/>
  <c r="Z152" i="14"/>
  <c r="EL21" i="14"/>
  <c r="EL26" i="14"/>
  <c r="AB89" i="14"/>
  <c r="Z150" i="14"/>
  <c r="X72" i="14"/>
  <c r="X78" i="14"/>
  <c r="AB90" i="14"/>
  <c r="Z151" i="14"/>
  <c r="BI18" i="14"/>
  <c r="BP15" i="14"/>
  <c r="BS18" i="14"/>
  <c r="T54" i="14"/>
  <c r="T159" i="14"/>
  <c r="CF31" i="14"/>
  <c r="CS13" i="14"/>
  <c r="CO15" i="14"/>
  <c r="DV26" i="14"/>
  <c r="CF28" i="14"/>
  <c r="CJ28" i="14"/>
  <c r="L99" i="14"/>
  <c r="DZ11" i="14"/>
  <c r="P34" i="13"/>
  <c r="O11" i="13"/>
  <c r="P11" i="13"/>
  <c r="T11" i="13"/>
  <c r="O23" i="13"/>
  <c r="S23" i="13"/>
  <c r="Q34" i="13"/>
  <c r="Q11" i="13"/>
  <c r="R34" i="13"/>
  <c r="F121" i="11"/>
  <c r="F120" i="11"/>
  <c r="S86" i="11"/>
  <c r="S91" i="11"/>
  <c r="F119" i="11"/>
  <c r="S85" i="11"/>
  <c r="S90" i="11"/>
  <c r="F118" i="11"/>
  <c r="S88" i="11"/>
  <c r="S93" i="11"/>
  <c r="S87" i="11"/>
  <c r="S92" i="11"/>
  <c r="EI12" i="17"/>
  <c r="EM16" i="17"/>
  <c r="EL21" i="17"/>
  <c r="EL26" i="17"/>
  <c r="AB89" i="17"/>
  <c r="Z150" i="17"/>
  <c r="EI12" i="18"/>
  <c r="EM16" i="18"/>
  <c r="EL21" i="18"/>
  <c r="EL26" i="18"/>
  <c r="AB89" i="18"/>
  <c r="Z150" i="18"/>
  <c r="EI9" i="18"/>
  <c r="EM13" i="18"/>
  <c r="CF17" i="18"/>
  <c r="CF25" i="18"/>
  <c r="CQ14" i="18"/>
  <c r="CR18" i="18"/>
  <c r="CH20" i="18"/>
  <c r="DB14" i="18"/>
  <c r="DM8" i="18"/>
  <c r="Y48" i="18"/>
  <c r="Y52" i="18"/>
  <c r="AB96" i="18"/>
  <c r="Z157" i="18"/>
  <c r="AV252" i="18"/>
  <c r="N72" i="18"/>
  <c r="DV26" i="18"/>
  <c r="EI28" i="18"/>
  <c r="DV28" i="18"/>
  <c r="X72" i="18"/>
  <c r="X78" i="18"/>
  <c r="AB90" i="18"/>
  <c r="Z151" i="18"/>
  <c r="DV26" i="17"/>
  <c r="EG6" i="17"/>
  <c r="EB11" i="17"/>
  <c r="J101" i="17"/>
  <c r="Y80" i="17"/>
  <c r="AB93" i="17"/>
  <c r="Z154" i="17"/>
  <c r="N72" i="17"/>
  <c r="X72" i="17"/>
  <c r="X78" i="17"/>
  <c r="AB90" i="17"/>
  <c r="Z151" i="17"/>
  <c r="BH14" i="17"/>
  <c r="BC7" i="17"/>
  <c r="BC8" i="17"/>
  <c r="BC9" i="17"/>
  <c r="BC10" i="17"/>
  <c r="AY18" i="17"/>
  <c r="AP14" i="17"/>
  <c r="AV252" i="17"/>
  <c r="Y52" i="17"/>
  <c r="AB96" i="17"/>
  <c r="Z157" i="17"/>
  <c r="DB14" i="17"/>
  <c r="DM8" i="17"/>
  <c r="CQ14" i="17"/>
  <c r="CR18" i="17"/>
  <c r="CH20" i="17"/>
  <c r="CF17" i="17"/>
  <c r="CF25" i="17"/>
  <c r="J101" i="18"/>
  <c r="EB11" i="18"/>
  <c r="BR14" i="18"/>
  <c r="BS18" i="18"/>
  <c r="BI18" i="18"/>
  <c r="BK67" i="18"/>
  <c r="BO67" i="18"/>
  <c r="BK61" i="18"/>
  <c r="BK66" i="18"/>
  <c r="BO66" i="18"/>
  <c r="BQ55" i="18"/>
  <c r="CZ15" i="18"/>
  <c r="BQ55" i="17"/>
  <c r="BK67" i="17"/>
  <c r="BO67" i="17"/>
  <c r="BK61" i="17"/>
  <c r="BK66" i="17"/>
  <c r="BO66" i="17"/>
  <c r="CZ15" i="17"/>
  <c r="CR18" i="16"/>
  <c r="CH20" i="16"/>
  <c r="CZ15" i="16"/>
  <c r="BR14" i="16"/>
  <c r="BS18" i="16"/>
  <c r="BI18" i="16"/>
  <c r="BQ55" i="16"/>
  <c r="BF49" i="16"/>
  <c r="BK67" i="16"/>
  <c r="BO67" i="16"/>
  <c r="BK61" i="16"/>
  <c r="BK66" i="16"/>
  <c r="BO66" i="16"/>
  <c r="EG6" i="16"/>
  <c r="EK40" i="16"/>
  <c r="EI28" i="16"/>
  <c r="AO41" i="16"/>
  <c r="AO39" i="16"/>
  <c r="AO38" i="16"/>
  <c r="AO31" i="16"/>
  <c r="AO42" i="16"/>
  <c r="AO40" i="16"/>
  <c r="AO32" i="16"/>
  <c r="AO36" i="16"/>
  <c r="EK40" i="15"/>
  <c r="EI28" i="15"/>
  <c r="AO37" i="15"/>
  <c r="AO39" i="15"/>
  <c r="AO38" i="15"/>
  <c r="BR14" i="15"/>
  <c r="BS18" i="15"/>
  <c r="BI18" i="15"/>
  <c r="BQ55" i="15"/>
  <c r="BF49" i="15"/>
  <c r="AO33" i="15"/>
  <c r="BK61" i="15"/>
  <c r="BK66" i="15"/>
  <c r="BO66" i="15"/>
  <c r="BK67" i="15"/>
  <c r="BO67" i="15"/>
  <c r="CM8" i="15"/>
  <c r="CJ31" i="15"/>
  <c r="CO8" i="15"/>
  <c r="CR18" i="15"/>
  <c r="CH20" i="15"/>
  <c r="CZ15" i="15"/>
  <c r="T54" i="15"/>
  <c r="CR18" i="14"/>
  <c r="CH20" i="14"/>
  <c r="CZ15" i="14"/>
  <c r="CJ31" i="14"/>
  <c r="CO8" i="14"/>
  <c r="CM8" i="14"/>
  <c r="AO35" i="14"/>
  <c r="AO37" i="14"/>
  <c r="BQ55" i="14"/>
  <c r="BK67" i="14"/>
  <c r="BO67" i="14"/>
  <c r="BK61" i="14"/>
  <c r="BK66" i="14"/>
  <c r="BO66" i="14"/>
  <c r="BF49" i="14"/>
  <c r="AO33" i="14"/>
  <c r="EK40" i="14"/>
  <c r="EI28" i="14"/>
  <c r="EG6" i="14"/>
  <c r="AO38" i="14"/>
  <c r="AO31" i="14"/>
  <c r="AO42" i="14"/>
  <c r="AO40" i="14"/>
  <c r="AO32" i="14"/>
  <c r="AO39" i="14"/>
  <c r="AO41" i="14"/>
  <c r="W177" i="11"/>
  <c r="EK40" i="17"/>
  <c r="EG6" i="18"/>
  <c r="AB156" i="18"/>
  <c r="F98" i="18"/>
  <c r="AB160" i="18"/>
  <c r="EI28" i="17"/>
  <c r="DV28" i="17"/>
  <c r="DV27" i="17"/>
  <c r="EK36" i="17"/>
  <c r="EK40" i="18"/>
  <c r="T54" i="18"/>
  <c r="BF49" i="18"/>
  <c r="AO30" i="18"/>
  <c r="EK32" i="18"/>
  <c r="DV27" i="18"/>
  <c r="EK36" i="18"/>
  <c r="AB156" i="17"/>
  <c r="AB160" i="17"/>
  <c r="F98" i="17"/>
  <c r="N47" i="12"/>
  <c r="S31" i="13"/>
  <c r="L101" i="17"/>
  <c r="S96" i="17"/>
  <c r="BF49" i="17"/>
  <c r="AO41" i="17"/>
  <c r="T54" i="17"/>
  <c r="BR14" i="17"/>
  <c r="BS18" i="17"/>
  <c r="BI18" i="17"/>
  <c r="AO37" i="18"/>
  <c r="Y80" i="18"/>
  <c r="AB93" i="18"/>
  <c r="Z154" i="18"/>
  <c r="P47" i="12"/>
  <c r="T31" i="13"/>
  <c r="L101" i="18"/>
  <c r="S96" i="18"/>
  <c r="AO34" i="18"/>
  <c r="DC18" i="18"/>
  <c r="CH12" i="18"/>
  <c r="DK9" i="18"/>
  <c r="DN12" i="18"/>
  <c r="AO31" i="17"/>
  <c r="AO33" i="17"/>
  <c r="DC18" i="17"/>
  <c r="CH12" i="17"/>
  <c r="DK9" i="17"/>
  <c r="DN12" i="17"/>
  <c r="AO39" i="17"/>
  <c r="AO34" i="16"/>
  <c r="AO30" i="16"/>
  <c r="AO37" i="16"/>
  <c r="AO33" i="16"/>
  <c r="AO35" i="16"/>
  <c r="DC18" i="16"/>
  <c r="CH12" i="16"/>
  <c r="DK9" i="16"/>
  <c r="DN12" i="16"/>
  <c r="AO32" i="15"/>
  <c r="AO41" i="15"/>
  <c r="AO35" i="15"/>
  <c r="AO40" i="15"/>
  <c r="DC18" i="15"/>
  <c r="CH12" i="15"/>
  <c r="DK9" i="15"/>
  <c r="DN12" i="15"/>
  <c r="AO34" i="15"/>
  <c r="AO30" i="15"/>
  <c r="AO31" i="15"/>
  <c r="AO42" i="15"/>
  <c r="AO36" i="15"/>
  <c r="AO34" i="14"/>
  <c r="AO30" i="14"/>
  <c r="AO36" i="14"/>
  <c r="DC18" i="14"/>
  <c r="CH12" i="14"/>
  <c r="DK9" i="14"/>
  <c r="DN12" i="14"/>
  <c r="T158" i="11"/>
  <c r="AO31" i="18"/>
  <c r="AO33" i="18"/>
  <c r="AO35" i="18"/>
  <c r="AO40" i="18"/>
  <c r="EK32" i="17"/>
  <c r="AX251" i="18"/>
  <c r="AU258" i="18"/>
  <c r="L99" i="18"/>
  <c r="U107" i="18"/>
  <c r="F100" i="18"/>
  <c r="T159" i="18"/>
  <c r="P35" i="12"/>
  <c r="T25" i="13"/>
  <c r="AO32" i="18"/>
  <c r="AO36" i="18"/>
  <c r="AO42" i="18"/>
  <c r="AO39" i="18"/>
  <c r="AO38" i="18"/>
  <c r="AO41" i="18"/>
  <c r="AX251" i="17"/>
  <c r="AU258" i="17"/>
  <c r="L99" i="17"/>
  <c r="N35" i="12"/>
  <c r="S25" i="13"/>
  <c r="T159" i="17"/>
  <c r="U107" i="17"/>
  <c r="F100" i="17"/>
  <c r="AO42" i="17"/>
  <c r="AO32" i="17"/>
  <c r="AO38" i="17"/>
  <c r="AO30" i="17"/>
  <c r="AO37" i="17"/>
  <c r="AO36" i="17"/>
  <c r="AO34" i="17"/>
  <c r="AO40" i="17"/>
  <c r="AO35" i="17"/>
  <c r="J98" i="11"/>
  <c r="F43" i="12"/>
  <c r="O29" i="13"/>
  <c r="S78" i="11"/>
  <c r="P39" i="12"/>
  <c r="T27" i="13"/>
  <c r="T160" i="18"/>
  <c r="F99" i="18"/>
  <c r="N39" i="12"/>
  <c r="S27" i="13"/>
  <c r="F99" i="17"/>
  <c r="T160" i="17"/>
  <c r="T120" i="11"/>
  <c r="AB92" i="11"/>
  <c r="Z153" i="11"/>
  <c r="W168" i="11"/>
  <c r="Z169" i="11"/>
  <c r="F101" i="18"/>
  <c r="P37" i="12"/>
  <c r="T26" i="13"/>
  <c r="T151" i="18"/>
  <c r="T151" i="17"/>
  <c r="F101" i="17"/>
  <c r="N37" i="12"/>
  <c r="S26" i="13"/>
  <c r="AA177" i="11"/>
  <c r="AB95" i="11"/>
  <c r="Z156" i="11"/>
  <c r="P41" i="12"/>
  <c r="T28" i="13"/>
  <c r="T152" i="18"/>
  <c r="T152" i="17"/>
  <c r="N41" i="12"/>
  <c r="S28" i="13"/>
  <c r="J121" i="11"/>
  <c r="J119" i="11"/>
  <c r="AB118" i="11"/>
  <c r="L119" i="11"/>
  <c r="S114" i="11"/>
  <c r="T114" i="11"/>
  <c r="S113" i="11"/>
  <c r="T113" i="11"/>
  <c r="T153" i="11"/>
  <c r="J99" i="11"/>
  <c r="T154" i="11"/>
  <c r="AW266" i="11"/>
  <c r="AU270" i="11"/>
  <c r="AT253" i="11"/>
  <c r="U102" i="11"/>
  <c r="Y81" i="11"/>
  <c r="AB94" i="11"/>
  <c r="Z155" i="11"/>
  <c r="H290" i="11"/>
  <c r="L290" i="11"/>
  <c r="E91" i="11"/>
  <c r="AB151" i="11"/>
  <c r="AA85" i="11"/>
  <c r="V58" i="11"/>
  <c r="X68" i="11"/>
  <c r="Y38" i="11"/>
  <c r="Y108" i="11"/>
  <c r="Y35" i="11"/>
  <c r="Y106" i="11"/>
  <c r="V62" i="11"/>
  <c r="Y61" i="11"/>
  <c r="Y65" i="11"/>
  <c r="AB88" i="11"/>
  <c r="Z149" i="11"/>
  <c r="AV15" i="11"/>
  <c r="ED8" i="11"/>
  <c r="DV9" i="11"/>
  <c r="DZ9" i="11"/>
  <c r="EJ4" i="11"/>
  <c r="Y41" i="11"/>
  <c r="Y43" i="11"/>
  <c r="DV11" i="11"/>
  <c r="DV12" i="11"/>
  <c r="DV15" i="11"/>
  <c r="DV16" i="11"/>
  <c r="DV17" i="11"/>
  <c r="DV18" i="11"/>
  <c r="DV19" i="11"/>
  <c r="DV20" i="11"/>
  <c r="DV21" i="11"/>
  <c r="CB9" i="11"/>
  <c r="CO15" i="11"/>
  <c r="CD12" i="11"/>
  <c r="DD13" i="11"/>
  <c r="CD20" i="11"/>
  <c r="CB28" i="11"/>
  <c r="CF28" i="11"/>
  <c r="CJ28" i="11"/>
  <c r="CB31" i="11"/>
  <c r="DO7" i="11"/>
  <c r="M266" i="11"/>
  <c r="G266" i="11"/>
  <c r="DV23" i="11"/>
  <c r="N81" i="11"/>
  <c r="AB91" i="11"/>
  <c r="Z152" i="11"/>
  <c r="DZ11" i="11"/>
  <c r="EK31" i="11"/>
  <c r="CF31" i="11"/>
  <c r="CM8" i="11"/>
  <c r="CB17" i="11"/>
  <c r="CB25" i="11"/>
  <c r="CJ29" i="11"/>
  <c r="CJ30" i="11"/>
  <c r="CZ15" i="11"/>
  <c r="CS13" i="11"/>
  <c r="EL21" i="11"/>
  <c r="EL26" i="11"/>
  <c r="EB11" i="11"/>
  <c r="J101" i="11"/>
  <c r="EI12" i="11"/>
  <c r="EM16" i="11"/>
  <c r="EI9" i="11"/>
  <c r="EM13" i="11"/>
  <c r="CO8" i="11"/>
  <c r="CJ31" i="11"/>
  <c r="DK9" i="11"/>
  <c r="AB89" i="11"/>
  <c r="Z150" i="11"/>
  <c r="DV26" i="11"/>
  <c r="EI28" i="11"/>
  <c r="EG6" i="11"/>
  <c r="EK40" i="11"/>
  <c r="AJ9" i="11"/>
  <c r="AJ10" i="11"/>
  <c r="AJ11" i="11"/>
  <c r="AJ12" i="11"/>
  <c r="AJ13" i="11"/>
  <c r="BD7" i="11"/>
  <c r="BD8" i="11"/>
  <c r="BD9" i="11"/>
  <c r="BD10" i="11"/>
  <c r="AJ16" i="11"/>
  <c r="BK50" i="11"/>
  <c r="AL16" i="11"/>
  <c r="AJ17" i="11"/>
  <c r="AL17" i="11"/>
  <c r="AJ18" i="11"/>
  <c r="BK51" i="11"/>
  <c r="AL18" i="11"/>
  <c r="AJ19" i="11"/>
  <c r="AL19" i="11"/>
  <c r="AJ30" i="11"/>
  <c r="AJ31" i="11"/>
  <c r="AJ32" i="11"/>
  <c r="BO68" i="11"/>
  <c r="BL76" i="11"/>
  <c r="BH93" i="11"/>
  <c r="BH95" i="11"/>
  <c r="DV28" i="11"/>
  <c r="BF15" i="11"/>
  <c r="BP15" i="11"/>
  <c r="AB121" i="11"/>
  <c r="L121" i="11"/>
  <c r="DV27" i="11"/>
  <c r="EK36" i="11"/>
  <c r="EK32" i="11"/>
  <c r="BK53" i="11"/>
  <c r="BK49" i="11"/>
  <c r="BK52" i="11"/>
  <c r="BK48" i="11"/>
  <c r="AP10" i="11"/>
  <c r="BH61" i="11"/>
  <c r="AX14" i="11"/>
  <c r="BC7" i="11"/>
  <c r="BC8" i="11"/>
  <c r="BC9" i="11"/>
  <c r="BC10" i="11"/>
  <c r="CF9" i="11"/>
  <c r="AP9" i="11"/>
  <c r="BK58" i="11"/>
  <c r="BK56" i="11"/>
  <c r="CJ25" i="11"/>
  <c r="BF48" i="11"/>
  <c r="BH45" i="11"/>
  <c r="BF47" i="11"/>
  <c r="BH14" i="11"/>
  <c r="BI18" i="11"/>
  <c r="BK61" i="11"/>
  <c r="BK67" i="11"/>
  <c r="BO67" i="11"/>
  <c r="BK66" i="11"/>
  <c r="BO66" i="11"/>
  <c r="BQ55" i="11"/>
  <c r="DB14" i="11"/>
  <c r="CF17" i="11"/>
  <c r="CF25" i="11"/>
  <c r="CQ14" i="11"/>
  <c r="CR18" i="11"/>
  <c r="CH20" i="11"/>
  <c r="L274" i="11"/>
  <c r="BF49" i="11"/>
  <c r="AO31" i="11"/>
  <c r="F151" i="11"/>
  <c r="BR14" i="11"/>
  <c r="BS18" i="11"/>
  <c r="DM8" i="11"/>
  <c r="DN12" i="11"/>
  <c r="DC18" i="11"/>
  <c r="CH12" i="11"/>
  <c r="L283" i="11"/>
  <c r="AP12" i="11"/>
  <c r="AZ13" i="11"/>
  <c r="AO35" i="11"/>
  <c r="F155" i="11"/>
  <c r="AO30" i="11"/>
  <c r="F150" i="11"/>
  <c r="AO34" i="11"/>
  <c r="F154" i="11"/>
  <c r="AO36" i="11"/>
  <c r="F156" i="11"/>
  <c r="AO32" i="11"/>
  <c r="F152" i="11"/>
  <c r="AO33" i="11"/>
  <c r="F153" i="11"/>
  <c r="AO40" i="11"/>
  <c r="F160" i="11"/>
  <c r="AO38" i="11"/>
  <c r="F158" i="11"/>
  <c r="AO42" i="11"/>
  <c r="F162" i="11"/>
  <c r="AO39" i="11"/>
  <c r="F159" i="11"/>
  <c r="AO37" i="11"/>
  <c r="F157" i="11"/>
  <c r="AO41" i="11"/>
  <c r="F161" i="11"/>
  <c r="BE7" i="11"/>
  <c r="BE8" i="11"/>
  <c r="BE9" i="11"/>
  <c r="BE10" i="11"/>
  <c r="AY18" i="11"/>
  <c r="N9" i="11"/>
  <c r="Y48" i="11"/>
  <c r="Y52" i="11"/>
  <c r="AB96" i="11"/>
  <c r="Z157" i="11"/>
  <c r="Y80" i="11"/>
  <c r="AB93" i="11"/>
  <c r="Z154" i="11"/>
  <c r="N72" i="11"/>
  <c r="X72" i="11"/>
  <c r="AV252" i="11"/>
  <c r="I91" i="11"/>
  <c r="AP14" i="11"/>
  <c r="G118" i="11"/>
  <c r="G120" i="11"/>
  <c r="X78" i="11"/>
  <c r="G119" i="11"/>
  <c r="K119" i="11"/>
  <c r="G121" i="11"/>
  <c r="K121" i="11"/>
  <c r="T54" i="11"/>
  <c r="AB90" i="11"/>
  <c r="Z151" i="11"/>
  <c r="AB160" i="11"/>
  <c r="AB156" i="11"/>
  <c r="F98" i="11"/>
  <c r="L101" i="11"/>
  <c r="U107" i="11"/>
  <c r="F100" i="11"/>
  <c r="F39" i="12"/>
  <c r="O27" i="13"/>
  <c r="F35" i="12"/>
  <c r="O25" i="13"/>
  <c r="F99" i="11"/>
  <c r="AX251" i="11"/>
  <c r="AU258" i="11"/>
  <c r="L99" i="11"/>
  <c r="T159" i="11"/>
  <c r="S96" i="11"/>
  <c r="T151" i="11"/>
  <c r="F37" i="12"/>
  <c r="O26" i="13"/>
  <c r="T160" i="11"/>
  <c r="F101" i="11"/>
  <c r="F41" i="12"/>
  <c r="O28" i="13"/>
  <c r="T152" i="11"/>
</calcChain>
</file>

<file path=xl/sharedStrings.xml><?xml version="1.0" encoding="utf-8"?>
<sst xmlns="http://schemas.openxmlformats.org/spreadsheetml/2006/main" count="5771" uniqueCount="405">
  <si>
    <t>Nome completo</t>
  </si>
  <si>
    <t>Data de Nasc.</t>
  </si>
  <si>
    <t>Idade</t>
  </si>
  <si>
    <t>Sexo</t>
  </si>
  <si>
    <t>Endereço</t>
  </si>
  <si>
    <t>Bairro</t>
  </si>
  <si>
    <t>CEP</t>
  </si>
  <si>
    <t>Cidade</t>
  </si>
  <si>
    <t>Telefone</t>
  </si>
  <si>
    <t>No último mês, você sentiu dores no peito quando praticava atividade física?</t>
  </si>
  <si>
    <t>Você apresenta desequilíbrio devido a tontura e/ou perda de consciência?</t>
  </si>
  <si>
    <t>Sabe de alguma outra razão pela qual você não deve realizar atividade física?</t>
  </si>
  <si>
    <t>Pressão Arterial</t>
  </si>
  <si>
    <t xml:space="preserve">Frequência </t>
  </si>
  <si>
    <t>Tempo de prática</t>
  </si>
  <si>
    <t>Medidas</t>
  </si>
  <si>
    <t>Dobras cutâneas</t>
  </si>
  <si>
    <t>Altura (m):</t>
  </si>
  <si>
    <t>Subscapular:</t>
  </si>
  <si>
    <t>Tricipital:</t>
  </si>
  <si>
    <t>Peitoral:</t>
  </si>
  <si>
    <t>Axilar-média:</t>
  </si>
  <si>
    <t>Abdominal:</t>
  </si>
  <si>
    <t>Coxa:</t>
  </si>
  <si>
    <t>Som. Dobras:</t>
  </si>
  <si>
    <t>Resultados</t>
  </si>
  <si>
    <t>IMC</t>
  </si>
  <si>
    <t>Classificação</t>
  </si>
  <si>
    <t>baixo peso severo</t>
  </si>
  <si>
    <t>baixo peso moderado</t>
  </si>
  <si>
    <t>baixo peso leve</t>
  </si>
  <si>
    <t>peso normal</t>
  </si>
  <si>
    <t>pré-obesidade</t>
  </si>
  <si>
    <t>obesidade moderada</t>
  </si>
  <si>
    <t>obesidade alta</t>
  </si>
  <si>
    <t>obesidade muito alta</t>
  </si>
  <si>
    <t>Clasificação</t>
  </si>
  <si>
    <t>Feminino</t>
  </si>
  <si>
    <t>homens</t>
  </si>
  <si>
    <t>mulheres</t>
  </si>
  <si>
    <t>%GC</t>
  </si>
  <si>
    <t>sexo:</t>
  </si>
  <si>
    <t>densidade corporal</t>
  </si>
  <si>
    <t>Supra-ilíaca:</t>
  </si>
  <si>
    <t>Siri (para mulher)</t>
  </si>
  <si>
    <t>Siri (para homem)</t>
  </si>
  <si>
    <t>Pollock</t>
  </si>
  <si>
    <t>Siri final</t>
  </si>
  <si>
    <t>feminino</t>
  </si>
  <si>
    <t>Torax</t>
  </si>
  <si>
    <t>Ombro</t>
  </si>
  <si>
    <t>Abdomen</t>
  </si>
  <si>
    <t>Quadril</t>
  </si>
  <si>
    <t>Braço</t>
  </si>
  <si>
    <t>Antebraço</t>
  </si>
  <si>
    <t>Coxa</t>
  </si>
  <si>
    <t>Panturrilha</t>
  </si>
  <si>
    <t>Direito</t>
  </si>
  <si>
    <t>Esquerdo</t>
  </si>
  <si>
    <t>Cintura</t>
  </si>
  <si>
    <t>Outros Perímetros</t>
  </si>
  <si>
    <t>Altura(m)</t>
  </si>
  <si>
    <t>RCQ</t>
  </si>
  <si>
    <t>Baixo</t>
  </si>
  <si>
    <t>20 - 29</t>
  </si>
  <si>
    <t>30 - 39</t>
  </si>
  <si>
    <t>60 - 69</t>
  </si>
  <si>
    <t>Nível</t>
  </si>
  <si>
    <t>Abdução
do Ombro</t>
  </si>
  <si>
    <t>Abdução
Horizontal
dos Ombros</t>
  </si>
  <si>
    <t>Flexão do
Cotovelo</t>
  </si>
  <si>
    <t>Hiperxtensão do
Cotovelo</t>
  </si>
  <si>
    <t>Flexão do
Punho</t>
  </si>
  <si>
    <t>Extensão do 
Punho</t>
  </si>
  <si>
    <t>Flexão do
Quadril</t>
  </si>
  <si>
    <t>Hiperxtensão do
Tronco</t>
  </si>
  <si>
    <t>Flexão Lateral
do Tronco</t>
  </si>
  <si>
    <t>Flexão da Coxa</t>
  </si>
  <si>
    <t>Extensão da 
Coxa</t>
  </si>
  <si>
    <t>Flexão do Joelho</t>
  </si>
  <si>
    <t>Hiperextensão do
Joelho</t>
  </si>
  <si>
    <t>Dorso Flexão
Plantar</t>
  </si>
  <si>
    <t>Flexão
Plantar</t>
  </si>
  <si>
    <t>Total de pontos</t>
  </si>
  <si>
    <t>Classificação do nível de flexibiliade</t>
  </si>
  <si>
    <t>Médio (-)</t>
  </si>
  <si>
    <t>Médio (+)</t>
  </si>
  <si>
    <t>Muito Baixo</t>
  </si>
  <si>
    <t>Grande</t>
  </si>
  <si>
    <t>Muito Grande</t>
  </si>
  <si>
    <t>classificação</t>
  </si>
  <si>
    <r>
      <t>FC</t>
    </r>
    <r>
      <rPr>
        <sz val="10"/>
        <color theme="1"/>
        <rFont val="Calibri"/>
        <family val="2"/>
        <scheme val="minor"/>
      </rPr>
      <t>repouso</t>
    </r>
  </si>
  <si>
    <t>PAS (mmHg)</t>
  </si>
  <si>
    <t>PAD (mmHg)</t>
  </si>
  <si>
    <t>bpm</t>
  </si>
  <si>
    <t>% de gordura</t>
  </si>
  <si>
    <t>0 = feminino</t>
  </si>
  <si>
    <t>1= masculino</t>
  </si>
  <si>
    <t xml:space="preserve">         Possui algum tipo de alergia?</t>
  </si>
  <si>
    <t xml:space="preserve">         Utiliza algum tipo de medicamento?</t>
  </si>
  <si>
    <t xml:space="preserve">         Ultimamente sente dores no corpo?</t>
  </si>
  <si>
    <t xml:space="preserve">         Tem ou teve o hábito de fumar?</t>
  </si>
  <si>
    <t xml:space="preserve">         Está em dieta para perder ou ganhar peso?</t>
  </si>
  <si>
    <t>Ombros</t>
  </si>
  <si>
    <t>Lordose lombar</t>
  </si>
  <si>
    <t>Cifose torácica</t>
  </si>
  <si>
    <t>Lordose cervical</t>
  </si>
  <si>
    <t>Joelhos</t>
  </si>
  <si>
    <t>Coluna</t>
  </si>
  <si>
    <t>Escápula</t>
  </si>
  <si>
    <t>Pés</t>
  </si>
  <si>
    <t>Tíbia</t>
  </si>
  <si>
    <t>Joelho</t>
  </si>
  <si>
    <t>Patela</t>
  </si>
  <si>
    <t>EIAS</t>
  </si>
  <si>
    <t>EIPS</t>
  </si>
  <si>
    <t>Dobras Cutâneas</t>
  </si>
  <si>
    <t>Perímetros</t>
  </si>
  <si>
    <t>Peso atual (kg):</t>
  </si>
  <si>
    <t>Peso atual (kg)</t>
  </si>
  <si>
    <t>Gordura atual (%)</t>
  </si>
  <si>
    <t>Peso gordo (kg)</t>
  </si>
  <si>
    <t>Peso magro (kg)</t>
  </si>
  <si>
    <t>Visão Anterior</t>
  </si>
  <si>
    <t>Visão Posterior</t>
  </si>
  <si>
    <t>Visão Lateral</t>
  </si>
  <si>
    <t>baixo</t>
  </si>
  <si>
    <t>moderado</t>
  </si>
  <si>
    <t>alto</t>
  </si>
  <si>
    <t>muito alto</t>
  </si>
  <si>
    <t>40 -49</t>
  </si>
  <si>
    <t>50 - 59</t>
  </si>
  <si>
    <t>genero</t>
  </si>
  <si>
    <t>idade</t>
  </si>
  <si>
    <t>valor</t>
  </si>
  <si>
    <t>Masculino</t>
  </si>
  <si>
    <t>força abdominal</t>
  </si>
  <si>
    <t>força de braço</t>
  </si>
  <si>
    <t>resultado</t>
  </si>
  <si>
    <t>15-19</t>
  </si>
  <si>
    <t>Bom</t>
  </si>
  <si>
    <t>Excelente</t>
  </si>
  <si>
    <t>Médio</t>
  </si>
  <si>
    <t>Regular</t>
  </si>
  <si>
    <t>Fraco</t>
  </si>
  <si>
    <t>20-29</t>
  </si>
  <si>
    <t>30 -39</t>
  </si>
  <si>
    <t>15 - 19</t>
  </si>
  <si>
    <t>idade:</t>
  </si>
  <si>
    <t>Numero de repetições  completas:</t>
  </si>
  <si>
    <t>Clasificação:</t>
  </si>
  <si>
    <t> Bi-epicôndilo umeral</t>
  </si>
  <si>
    <t> Bi-estilóide</t>
  </si>
  <si>
    <t>Bi-côndilo femural</t>
  </si>
  <si>
    <t>Bi-estilóide</t>
  </si>
  <si>
    <t>ectomorfia</t>
  </si>
  <si>
    <t>mesoformia</t>
  </si>
  <si>
    <t>endomorfia</t>
  </si>
  <si>
    <t>correção das dobras pela estatura</t>
  </si>
  <si>
    <t>CBC</t>
  </si>
  <si>
    <t>CPC</t>
  </si>
  <si>
    <t>CB</t>
  </si>
  <si>
    <t>CP</t>
  </si>
  <si>
    <t>DCTR</t>
  </si>
  <si>
    <t>DCPM</t>
  </si>
  <si>
    <t>INDICE PONDERAL</t>
  </si>
  <si>
    <t>RAIZ CUBICA PESO</t>
  </si>
  <si>
    <t>ESTATURA</t>
  </si>
  <si>
    <t>&gt;40,75</t>
  </si>
  <si>
    <t>38,25 e 40,75</t>
  </si>
  <si>
    <t>&lt;=38,25</t>
  </si>
  <si>
    <t>ECTOMORFIA</t>
  </si>
  <si>
    <t>Endomorfo equilibrado</t>
  </si>
  <si>
    <t>Mesomorfo-endomórfico</t>
  </si>
  <si>
    <t>Ectomorfo-endomorfo</t>
  </si>
  <si>
    <t>Mesomorfo equilibrado</t>
  </si>
  <si>
    <t>Ectomorfo equilibrado</t>
  </si>
  <si>
    <t>Ectomorfo-mesomorfo</t>
  </si>
  <si>
    <t>Endomorfo-mesomorfo</t>
  </si>
  <si>
    <t>Mesomorfo-ectomórfico</t>
  </si>
  <si>
    <t>Endomorfo-ectomorfo</t>
  </si>
  <si>
    <t>Mesoendomorfo</t>
  </si>
  <si>
    <t>Mesoectomorfo</t>
  </si>
  <si>
    <t>Endoectomorfo</t>
  </si>
  <si>
    <t>Central</t>
  </si>
  <si>
    <t>somatotipo</t>
  </si>
  <si>
    <t>SE(Z47&gt;Z48=Z49;"Endomorfo");se(Z47&lt;Z48&gt;Z49;"Mesomorfo-endomórfico);se(Z47&gt;Z48&lt;Z49;"Ectomorfo-endomorfo");SE(Z47=Z49&lt;Z48;"Mesomorfo");SE(Z47=Z48&lt;Z49;"Ectomorfo");SE(Z49&gt;Z48&gt;Z47;"Ectomorfo-mesomorfo");se(Z47&gt;Z48&gt;Z49;"Endomorfo-mesomorfo");se(Z47&lt;Z48&gt;Z49&gt;Z47;"Mesomorfo-ectomórfico");se(Z47&gt;Z49&gt;Z48;Endomorfo-ectomorfo);se(Z47=Z48&gt;Z49;"Mesoendomorfo");se(Z49=Z48&gt;Z47;"Mesoectomorfo");se(Z47=Z49&gt;Z48;"Endoectomorfo");se(Z47=Z48=Z49;"Central")</t>
  </si>
  <si>
    <t>COMPONENTES</t>
  </si>
  <si>
    <t>ECTO</t>
  </si>
  <si>
    <t>MESO</t>
  </si>
  <si>
    <t>ENDO</t>
  </si>
  <si>
    <t>Algum médico já disse que você possui algum problema de coração e que só deveria realizar atividades físicas supervisionada por profissionais da saúde?</t>
  </si>
  <si>
    <t>Você possui algum problema ósseo ou articular que poderia ser piorado pela atividade física?</t>
  </si>
  <si>
    <t>Você toma atualmente algum medicamento para pressão arterial e/ou problema de coração?</t>
  </si>
  <si>
    <t>40 - 49</t>
  </si>
  <si>
    <t>&lt;29</t>
  </si>
  <si>
    <t>M. Fraco</t>
  </si>
  <si>
    <t>peso:</t>
  </si>
  <si>
    <t xml:space="preserve">     Consumo máximo de oxigênio </t>
  </si>
  <si>
    <t xml:space="preserve">  Distância percorrida:</t>
  </si>
  <si>
    <t>Velocidade média:</t>
  </si>
  <si>
    <t>Dados Pessoais</t>
  </si>
  <si>
    <t>Objetivos com relação ao treinamento</t>
  </si>
  <si>
    <t>Análise da composição corporal</t>
  </si>
  <si>
    <t>Avaliação Postural</t>
  </si>
  <si>
    <t>3 - Cintura</t>
  </si>
  <si>
    <t>5 - Quadril</t>
  </si>
  <si>
    <t>6 - Braço</t>
  </si>
  <si>
    <t>7 - Antebraço</t>
  </si>
  <si>
    <t>8 - Coxa</t>
  </si>
  <si>
    <t>9 - Panturrilha</t>
  </si>
  <si>
    <t>Somatotipo</t>
  </si>
  <si>
    <t>Diâmetros ósseos</t>
  </si>
  <si>
    <t>Potência abdominal (Pollock e Wilmore,1993)</t>
  </si>
  <si>
    <t>Potência de membros superiores (Pollock e Wilmore,1993)</t>
  </si>
  <si>
    <t>Este relatório não serve como exame médico, e sim um dado para que nós professores de educação física não</t>
  </si>
  <si>
    <t>preescrevemos algum treinamento de forma indevida e sem responsabilidade. Por via das dúvidas consulte seu médico</t>
  </si>
  <si>
    <t>antes de realizar qualquer atividade física. Lembre-se que com saúde não se brinca.</t>
  </si>
  <si>
    <t>Diferença entre os segmentos corporais</t>
  </si>
  <si>
    <t>ANTEBRAÇO</t>
  </si>
  <si>
    <t>BRAÇO</t>
  </si>
  <si>
    <t>COXA</t>
  </si>
  <si>
    <t>PANTURRILHA</t>
  </si>
  <si>
    <t>CONSIDERAÇÕES FINAIS</t>
  </si>
  <si>
    <t>Busto</t>
  </si>
  <si>
    <t>Anamnese Clínica</t>
  </si>
  <si>
    <t>1 - Ombro</t>
  </si>
  <si>
    <t>2 - Toráx</t>
  </si>
  <si>
    <t>Par-Q</t>
  </si>
  <si>
    <t>Abdômen</t>
  </si>
  <si>
    <t>Teste de Cooper (12 minutos)</t>
  </si>
  <si>
    <t>Velocidade média</t>
  </si>
  <si>
    <t>Classificação:</t>
  </si>
  <si>
    <t>Excelente volume muscular</t>
  </si>
  <si>
    <t>Ótimo volume muscular</t>
  </si>
  <si>
    <t>Bom volume muscular</t>
  </si>
  <si>
    <t>Volume muscular adequado</t>
  </si>
  <si>
    <t>Déficit muscular leve</t>
  </si>
  <si>
    <t>Déficit muscular moderado</t>
  </si>
  <si>
    <t>Déficit muscular severo</t>
  </si>
  <si>
    <t>braço</t>
  </si>
  <si>
    <t>coxa</t>
  </si>
  <si>
    <t>Bi-epicôndilo femural</t>
  </si>
  <si>
    <t>Data da Avaliação</t>
  </si>
  <si>
    <t>E-mail</t>
  </si>
  <si>
    <t xml:space="preserve">         Pratica atualmente algum tipo de exercício físico?</t>
  </si>
  <si>
    <t xml:space="preserve">         Praticou algum tipo de exercício físico no passado?</t>
  </si>
  <si>
    <t xml:space="preserve">         Doenças na família nos últimos anos.</t>
  </si>
  <si>
    <t xml:space="preserve">         Doenças pessoais nos últimos anos.</t>
  </si>
  <si>
    <t xml:space="preserve">         Possui alguma restrição a prática de exercícios físicos?</t>
  </si>
  <si>
    <t xml:space="preserve">         Foi submetido(a) a algum tipo de cirurgia?</t>
  </si>
  <si>
    <t xml:space="preserve">         Sofreu algum acidente ou lesão osteo-muscular?</t>
  </si>
  <si>
    <r>
      <rPr>
        <b/>
        <sz val="9"/>
        <color theme="1"/>
        <rFont val="Calibri"/>
        <family val="2"/>
        <scheme val="minor"/>
      </rPr>
      <t xml:space="preserve">ENDOMORFO: </t>
    </r>
    <r>
      <rPr>
        <sz val="9"/>
        <color theme="1"/>
        <rFont val="Calibri"/>
        <family val="2"/>
        <scheme val="minor"/>
      </rPr>
      <t xml:space="preserve">São pessoas de elevado peso corporal que têm tendência a acumular gordura subcutânea, de formas arredondadas, abdômen saliente e braços e pernas proporcionalmente curtos. A musculação é bem indicada para agir na queima de gordura e conquistar massa muscular. O endomorfo tem uma estrutura óssea larga e um metabolismo lento, por isso ganha peso facilmente e apresenta dificuldade para perder gordura.
</t>
    </r>
    <r>
      <rPr>
        <b/>
        <sz val="9"/>
        <color theme="1"/>
        <rFont val="Calibri"/>
        <family val="2"/>
        <scheme val="minor"/>
      </rPr>
      <t>MESOMORFO:</t>
    </r>
    <r>
      <rPr>
        <sz val="9"/>
        <color theme="1"/>
        <rFont val="Calibri"/>
        <family val="2"/>
        <scheme val="minor"/>
      </rPr>
      <t xml:space="preserve"> É o corpo privilegiado, bem dotado fisicamente e ideal para a musculação, perfeito para os padrões estéticos atuais e possuem baixa gordura corporal. São pessoas de ossos largos, tórax grande, cintura fina, com musculatura predominante. Sua boa estrutura óssea e densidade muscular facilitam a pratica de musculação.
</t>
    </r>
    <r>
      <rPr>
        <b/>
        <sz val="9"/>
        <color theme="1"/>
        <rFont val="Calibri"/>
        <family val="2"/>
        <scheme val="minor"/>
      </rPr>
      <t xml:space="preserve">ECTOMORFO: </t>
    </r>
    <r>
      <rPr>
        <sz val="9"/>
        <color theme="1"/>
        <rFont val="Calibri"/>
        <family val="2"/>
        <scheme val="minor"/>
      </rPr>
      <t>Têm ossos estreitos e salientes, músculos delgados, ombros caídos. Tendência a baixo percentual de gordura corporal. Estrutura óssea comprida, magros e longilíneos. Seu metabolismo é acelerado em comparação aos outros tipos e apresenta maior dificuldade de ganhar peso e volume muscular. Desde que se realize um bom treino, uma boa alimentação, o ectomorfo pode obter resultados surpreendentes.</t>
    </r>
  </si>
  <si>
    <t>ÁREA MUSCULAR DO BRAÇO (cm)</t>
  </si>
  <si>
    <r>
      <t>ÁREA MUSCULAR DA COXA  (cm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</si>
  <si>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>Qual atividade</t>
  </si>
  <si>
    <t>Protocolo Dobras Cutâneas</t>
  </si>
  <si>
    <t>Jackson e Pollock (1978) - (sete dobras)</t>
  </si>
  <si>
    <t>Faulkner</t>
  </si>
  <si>
    <t>Equação Falkner</t>
  </si>
  <si>
    <t>Desnsidade corporal Pollock 3 dobras</t>
  </si>
  <si>
    <t>Somatorio 3 dobras Pollock Mulher</t>
  </si>
  <si>
    <t>Somatorio 3 dobras Pollock Homem</t>
  </si>
  <si>
    <t>Jackson e Pollock 7 dobras</t>
  </si>
  <si>
    <t>Jackson e Pollock 3 dobras</t>
  </si>
  <si>
    <t>Guedes 3 dobras</t>
  </si>
  <si>
    <t>Siri 3 dobras pollock</t>
  </si>
  <si>
    <t>Somatorio 3 dobras Guedes Homem</t>
  </si>
  <si>
    <t>Somatorio 3 dobrasGuedes Mulher</t>
  </si>
  <si>
    <t>Siri Guedes 3 dobras</t>
  </si>
  <si>
    <t>Densidade corporal Guedes</t>
  </si>
  <si>
    <t>h</t>
  </si>
  <si>
    <t>m</t>
  </si>
  <si>
    <t>codigo</t>
  </si>
  <si>
    <t>nome</t>
  </si>
  <si>
    <t xml:space="preserve">  Distância percorrida (m)</t>
  </si>
  <si>
    <t>altura em (cm)</t>
  </si>
  <si>
    <t>Taxa metabólica basal</t>
  </si>
  <si>
    <t>HOMENS</t>
  </si>
  <si>
    <t>Nivel / idade</t>
  </si>
  <si>
    <t>18 - 25</t>
  </si>
  <si>
    <t>26 - 35</t>
  </si>
  <si>
    <t>36 - 45</t>
  </si>
  <si>
    <t>46 - 55</t>
  </si>
  <si>
    <t>56 - 65</t>
  </si>
  <si>
    <t>Acima de 65</t>
  </si>
  <si>
    <t>4% a 6%</t>
  </si>
  <si>
    <t>8% a 11%</t>
  </si>
  <si>
    <t>10% a 14%</t>
  </si>
  <si>
    <t>12% a 16%</t>
  </si>
  <si>
    <t>13% a 18%</t>
  </si>
  <si>
    <t>14% a 18%</t>
  </si>
  <si>
    <t>8% a 10%</t>
  </si>
  <si>
    <t>12% a 15%</t>
  </si>
  <si>
    <t>16% a 18%</t>
  </si>
  <si>
    <t>18% a 20%</t>
  </si>
  <si>
    <t>20% a 21%</t>
  </si>
  <si>
    <t>19% a 21%</t>
  </si>
  <si>
    <t>Acima da média</t>
  </si>
  <si>
    <t>12% a 13%</t>
  </si>
  <si>
    <t>21% a 23%</t>
  </si>
  <si>
    <t>22% a 23%</t>
  </si>
  <si>
    <t>22% - 23%</t>
  </si>
  <si>
    <t>Média</t>
  </si>
  <si>
    <t>14% a 16%</t>
  </si>
  <si>
    <t>24% a 25%</t>
  </si>
  <si>
    <t>23% a 24%</t>
  </si>
  <si>
    <t>Abaixo da média</t>
  </si>
  <si>
    <t>17% a 20%</t>
  </si>
  <si>
    <t>22% a 24%</t>
  </si>
  <si>
    <t>26% a 27%</t>
  </si>
  <si>
    <t>25% a 26</t>
  </si>
  <si>
    <t>Ruim</t>
  </si>
  <si>
    <t>20% a 24%</t>
  </si>
  <si>
    <t>24% a 27%</t>
  </si>
  <si>
    <t>27% a 29%</t>
  </si>
  <si>
    <t>28% a 30%</t>
  </si>
  <si>
    <t>Muito ruim</t>
  </si>
  <si>
    <t>26% a 36%</t>
  </si>
  <si>
    <t>28% a 36%</t>
  </si>
  <si>
    <t>30% a 39%</t>
  </si>
  <si>
    <t>32% a 38%</t>
  </si>
  <si>
    <t>31% a 38</t>
  </si>
  <si>
    <t>MULHERES</t>
  </si>
  <si>
    <t>13% a 16%</t>
  </si>
  <si>
    <t>16% a 19%</t>
  </si>
  <si>
    <t>17% a 21%</t>
  </si>
  <si>
    <t>18% a 22%</t>
  </si>
  <si>
    <t>16% a 20%</t>
  </si>
  <si>
    <t>17% a 19%</t>
  </si>
  <si>
    <t>20% a 23%</t>
  </si>
  <si>
    <t>23% a 25%</t>
  </si>
  <si>
    <t>24% a 26%</t>
  </si>
  <si>
    <t>22% a 26%</t>
  </si>
  <si>
    <t>20% a 22%</t>
  </si>
  <si>
    <t>26% a 28%</t>
  </si>
  <si>
    <t>29% a 31%</t>
  </si>
  <si>
    <t>30% a 32%</t>
  </si>
  <si>
    <t>32% a 34%</t>
  </si>
  <si>
    <t>33% a 35%</t>
  </si>
  <si>
    <t>31% a 33%</t>
  </si>
  <si>
    <t>33% a 36%</t>
  </si>
  <si>
    <t>36% a 38%</t>
  </si>
  <si>
    <t>35% a 37%</t>
  </si>
  <si>
    <t>33% a 43%</t>
  </si>
  <si>
    <t>36% a 49%</t>
  </si>
  <si>
    <t>38% a 48%</t>
  </si>
  <si>
    <t>39% a 49%</t>
  </si>
  <si>
    <t>38% a 41%</t>
  </si>
  <si>
    <t xml:space="preserve">Homem </t>
  </si>
  <si>
    <t xml:space="preserve">Mulher </t>
  </si>
  <si>
    <t>&lt;25</t>
  </si>
  <si>
    <t>&lt;=35</t>
  </si>
  <si>
    <t>&lt;= 45</t>
  </si>
  <si>
    <t>&lt;=55</t>
  </si>
  <si>
    <t>&lt;=65</t>
  </si>
  <si>
    <t>&gt;=65</t>
  </si>
  <si>
    <t>39% a 50%</t>
  </si>
  <si>
    <t>35% a 38%</t>
  </si>
  <si>
    <t>Classificação %GC</t>
  </si>
  <si>
    <t>Você sente dores no peito quando pratica atividade física?</t>
  </si>
  <si>
    <t>Massa gorda</t>
  </si>
  <si>
    <t>Massa livre de gordura</t>
  </si>
  <si>
    <t>Massa muscular</t>
  </si>
  <si>
    <t>Massa residual</t>
  </si>
  <si>
    <t>Massa Óssea</t>
  </si>
  <si>
    <t>Classificação % de gordura corporal</t>
  </si>
  <si>
    <t>Panturrilha:</t>
  </si>
  <si>
    <t>Bicipital:</t>
  </si>
  <si>
    <t>SLAUGHTER (1988)</t>
  </si>
  <si>
    <t>DURNIN &amp; WOMERLEY (1974)</t>
  </si>
  <si>
    <t>Siri</t>
  </si>
  <si>
    <t>Jackson e Pollock 7 dobras (18 a 61 anos)</t>
  </si>
  <si>
    <t>Jackson e Pollock 3 dobras (18 a 61 anos)</t>
  </si>
  <si>
    <t>Slaughter (crianças - 6 a 17 anos)</t>
  </si>
  <si>
    <t>Deurenberg</t>
  </si>
  <si>
    <t>Weltman</t>
  </si>
  <si>
    <t>4 - Abdômen</t>
  </si>
  <si>
    <t>Flexisteste</t>
  </si>
  <si>
    <t>Cabeça em inclinação</t>
  </si>
  <si>
    <t>ÁREA MUSCULAR DO BRAÇO  (cm)</t>
  </si>
  <si>
    <t>Peso</t>
  </si>
  <si>
    <t>Fracionamento da composição corporal</t>
  </si>
  <si>
    <t>Composição Corporal</t>
  </si>
  <si>
    <t>DURNIN &amp; WOMERLEY (16 a 72 anos)</t>
  </si>
  <si>
    <t>Durnin &amp; Womerley (16 a 72 anos)</t>
  </si>
  <si>
    <t>Petroski (1995)</t>
  </si>
  <si>
    <t>Petroski (Homens 18 a 66 anos e mulheres 18 a 51 anos)</t>
  </si>
  <si>
    <t>b</t>
  </si>
  <si>
    <t>ant</t>
  </si>
  <si>
    <t>cx</t>
  </si>
  <si>
    <t>pan</t>
  </si>
  <si>
    <t>Data</t>
  </si>
  <si>
    <t>Bicipital</t>
  </si>
  <si>
    <t>Massa óssea</t>
  </si>
  <si>
    <t>Perímetros (cm)</t>
  </si>
  <si>
    <t>Toráx</t>
  </si>
  <si>
    <t>Braço (d)</t>
  </si>
  <si>
    <t>Braço (e)</t>
  </si>
  <si>
    <t>Antebraço (d)</t>
  </si>
  <si>
    <t>Antebraço (e)</t>
  </si>
  <si>
    <t>Coxa (d)</t>
  </si>
  <si>
    <t>Coxa (e)</t>
  </si>
  <si>
    <t>Panturrilha (d)</t>
  </si>
  <si>
    <t>Panturrilha 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</si>
</sst>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0000\-000"/>
    <numFmt numFmtId="165" formatCode="0.0"/>
    <numFmt numFmtId="166" formatCode="00.0\ &quot;km/h&quot;"/>
    <numFmt numFmtId="167" formatCode="0.00\ &quot;ml/kg/min.&quot;"/>
    <numFmt numFmtId="168" formatCode="0\ &quot;m&quot;"/>
    <numFmt numFmtId="169" formatCode="0.0\ &quot;cm&quot;"/>
    <numFmt numFmtId="170" formatCode="\(00\)\ 0\ 0000\-0000"/>
    <numFmt numFmtId="171" formatCode="0\ &quot;kcal&quot;"/>
    <numFmt numFmtId="172" formatCode="0.0\ &quot;kg&quot;"/>
    <numFmt numFmtId="173" formatCode="0\ &quot;bpm&quot;"/>
    <numFmt numFmtId="174" formatCode="0.0&quot;%&quot;"/>
    <numFmt numFmtId="175" formatCode="0.0&quot;Kg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2"/>
      <color rgb="FF00B0F0"/>
      <name val="Comic Sans MS"/>
      <family val="4"/>
    </font>
    <font>
      <sz val="11"/>
      <name val="Calibri"/>
      <family val="2"/>
      <scheme val="minor"/>
    </font>
    <font>
      <sz val="10"/>
      <color rgb="FF632035"/>
      <name val="Arial"/>
      <family val="2"/>
    </font>
    <font>
      <b/>
      <sz val="10"/>
      <color rgb="FF632035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color theme="1" tint="0.1499984740745262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"/>
      <name val="Calibri"/>
      <family val="2"/>
    </font>
    <font>
      <vertAlign val="superscript"/>
      <sz val="10"/>
      <color theme="1"/>
      <name val="Calibri"/>
      <family val="2"/>
      <scheme val="minor"/>
    </font>
    <font>
      <sz val="12"/>
      <color rgb="FF00B0F0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omic Sans MS"/>
      <family val="4"/>
    </font>
    <font>
      <sz val="11"/>
      <color theme="0"/>
      <name val="Arial"/>
      <family val="2"/>
    </font>
    <font>
      <sz val="12"/>
      <color theme="0"/>
      <name val="Arial"/>
      <family val="2"/>
    </font>
    <font>
      <sz val="48"/>
      <color theme="1"/>
      <name val="Freestyle Script"/>
      <family val="4"/>
    </font>
    <font>
      <b/>
      <sz val="2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 style="thin">
        <color theme="0" tint="-0.249977111117893"/>
      </right>
      <top/>
      <bottom/>
      <diagonal/>
    </border>
    <border>
      <left/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50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3" borderId="0" xfId="0" applyFill="1"/>
    <xf numFmtId="0" fontId="0" fillId="2" borderId="0" xfId="0" applyFill="1"/>
    <xf numFmtId="0" fontId="1" fillId="0" borderId="0" xfId="0" applyFont="1"/>
    <xf numFmtId="0" fontId="3" fillId="0" borderId="0" xfId="0" applyFont="1"/>
    <xf numFmtId="0" fontId="0" fillId="4" borderId="5" xfId="0" applyFill="1" applyBorder="1" applyAlignment="1">
      <alignment horizontal="center"/>
    </xf>
    <xf numFmtId="165" fontId="0" fillId="4" borderId="5" xfId="0" applyNumberFormat="1" applyFill="1" applyBorder="1" applyAlignment="1">
      <alignment horizontal="center"/>
    </xf>
    <xf numFmtId="0" fontId="0" fillId="4" borderId="5" xfId="0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8" xfId="0" applyBorder="1" applyAlignment="1">
      <alignment horizontal="right"/>
    </xf>
    <xf numFmtId="2" fontId="0" fillId="0" borderId="0" xfId="0" applyNumberFormat="1"/>
    <xf numFmtId="0" fontId="0" fillId="0" borderId="19" xfId="0" applyBorder="1"/>
    <xf numFmtId="0" fontId="0" fillId="0" borderId="18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3" xfId="0" applyBorder="1" applyAlignment="1">
      <alignment horizontal="right"/>
    </xf>
    <xf numFmtId="2" fontId="0" fillId="4" borderId="5" xfId="1" applyNumberFormat="1" applyFont="1" applyFill="1" applyBorder="1" applyAlignment="1">
      <alignment horizontal="center"/>
    </xf>
    <xf numFmtId="2" fontId="0" fillId="3" borderId="0" xfId="0" applyNumberFormat="1" applyFill="1"/>
    <xf numFmtId="0" fontId="0" fillId="0" borderId="4" xfId="0" applyBorder="1" applyAlignment="1">
      <alignment horizontal="right"/>
    </xf>
    <xf numFmtId="0" fontId="0" fillId="4" borderId="5" xfId="0" applyFill="1" applyBorder="1" applyProtection="1">
      <protection locked="0"/>
    </xf>
    <xf numFmtId="2" fontId="0" fillId="0" borderId="0" xfId="0" applyNumberFormat="1" applyAlignment="1">
      <alignment horizontal="center"/>
    </xf>
    <xf numFmtId="2" fontId="0" fillId="7" borderId="5" xfId="0" applyNumberFormat="1" applyFill="1" applyBorder="1"/>
    <xf numFmtId="0" fontId="0" fillId="7" borderId="5" xfId="0" applyFill="1" applyBorder="1"/>
    <xf numFmtId="0" fontId="0" fillId="7" borderId="0" xfId="0" applyFill="1"/>
    <xf numFmtId="0" fontId="0" fillId="7" borderId="5" xfId="0" applyFill="1" applyBorder="1" applyAlignment="1">
      <alignment horizontal="center" vertical="center"/>
    </xf>
    <xf numFmtId="0" fontId="0" fillId="8" borderId="5" xfId="0" applyFill="1" applyBorder="1"/>
    <xf numFmtId="0" fontId="0" fillId="8" borderId="0" xfId="0" applyFill="1"/>
    <xf numFmtId="0" fontId="0" fillId="8" borderId="5" xfId="0" applyFill="1" applyBorder="1" applyAlignment="1">
      <alignment horizontal="center" vertical="center"/>
    </xf>
    <xf numFmtId="2" fontId="0" fillId="8" borderId="5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4" borderId="5" xfId="0" applyNumberFormat="1" applyFill="1" applyBorder="1" applyProtection="1">
      <protection locked="0"/>
    </xf>
    <xf numFmtId="0" fontId="8" fillId="2" borderId="0" xfId="0" applyFont="1" applyFill="1" applyAlignment="1">
      <alignment vertical="center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5" borderId="0" xfId="0" applyFill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1" fontId="0" fillId="7" borderId="5" xfId="0" applyNumberFormat="1" applyFill="1" applyBorder="1"/>
    <xf numFmtId="1" fontId="0" fillId="7" borderId="5" xfId="0" applyNumberFormat="1" applyFill="1" applyBorder="1" applyAlignment="1">
      <alignment horizontal="center" vertical="center"/>
    </xf>
    <xf numFmtId="1" fontId="0" fillId="7" borderId="0" xfId="0" applyNumberFormat="1" applyFill="1" applyAlignment="1">
      <alignment horizontal="center"/>
    </xf>
    <xf numFmtId="1" fontId="0" fillId="7" borderId="31" xfId="0" applyNumberFormat="1" applyFill="1" applyBorder="1" applyAlignment="1">
      <alignment horizontal="center"/>
    </xf>
    <xf numFmtId="0" fontId="0" fillId="8" borderId="31" xfId="0" applyFill="1" applyBorder="1"/>
    <xf numFmtId="1" fontId="0" fillId="8" borderId="5" xfId="0" applyNumberFormat="1" applyFill="1" applyBorder="1" applyAlignment="1">
      <alignment horizontal="center"/>
    </xf>
    <xf numFmtId="1" fontId="0" fillId="8" borderId="0" xfId="0" applyNumberFormat="1" applyFill="1" applyAlignment="1">
      <alignment horizontal="center"/>
    </xf>
    <xf numFmtId="1" fontId="0" fillId="8" borderId="5" xfId="0" applyNumberForma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1" fontId="0" fillId="7" borderId="5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7" borderId="0" xfId="0" applyNumberFormat="1" applyFill="1" applyAlignment="1">
      <alignment horizontal="center" vertical="center"/>
    </xf>
    <xf numFmtId="1" fontId="0" fillId="8" borderId="0" xfId="0" applyNumberFormat="1" applyFill="1" applyAlignment="1">
      <alignment horizontal="center" vertical="center"/>
    </xf>
    <xf numFmtId="0" fontId="0" fillId="4" borderId="0" xfId="0" applyFill="1"/>
    <xf numFmtId="2" fontId="0" fillId="4" borderId="5" xfId="0" applyNumberFormat="1" applyFill="1" applyBorder="1"/>
    <xf numFmtId="1" fontId="0" fillId="0" borderId="0" xfId="0" applyNumberFormat="1"/>
    <xf numFmtId="165" fontId="0" fillId="4" borderId="0" xfId="0" applyNumberFormat="1" applyFill="1"/>
    <xf numFmtId="0" fontId="4" fillId="0" borderId="0" xfId="0" applyFont="1"/>
    <xf numFmtId="0" fontId="11" fillId="4" borderId="0" xfId="0" applyFont="1" applyFill="1"/>
    <xf numFmtId="0" fontId="9" fillId="4" borderId="0" xfId="0" applyFont="1" applyFill="1"/>
    <xf numFmtId="0" fontId="12" fillId="4" borderId="0" xfId="0" applyFont="1" applyFill="1"/>
    <xf numFmtId="0" fontId="0" fillId="6" borderId="0" xfId="0" applyFill="1"/>
    <xf numFmtId="1" fontId="10" fillId="6" borderId="0" xfId="0" applyNumberFormat="1" applyFont="1" applyFill="1"/>
    <xf numFmtId="1" fontId="0" fillId="6" borderId="0" xfId="0" applyNumberFormat="1" applyFill="1"/>
    <xf numFmtId="1" fontId="0" fillId="6" borderId="34" xfId="0" applyNumberFormat="1" applyFill="1" applyBorder="1"/>
    <xf numFmtId="0" fontId="9" fillId="4" borderId="33" xfId="0" applyFont="1" applyFill="1" applyBorder="1" applyProtection="1">
      <protection locked="0"/>
    </xf>
    <xf numFmtId="0" fontId="0" fillId="4" borderId="24" xfId="0" applyFill="1" applyBorder="1" applyProtection="1">
      <protection locked="0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/>
    </xf>
    <xf numFmtId="166" fontId="7" fillId="0" borderId="0" xfId="0" applyNumberFormat="1" applyFont="1"/>
    <xf numFmtId="168" fontId="7" fillId="0" borderId="0" xfId="0" applyNumberFormat="1" applyFont="1"/>
    <xf numFmtId="167" fontId="7" fillId="0" borderId="0" xfId="0" applyNumberFormat="1" applyFont="1"/>
    <xf numFmtId="2" fontId="7" fillId="0" borderId="0" xfId="0" applyNumberFormat="1" applyFont="1"/>
    <xf numFmtId="0" fontId="0" fillId="2" borderId="0" xfId="0" applyFill="1" applyAlignment="1">
      <alignment horizontal="left"/>
    </xf>
    <xf numFmtId="0" fontId="15" fillId="0" borderId="0" xfId="0" applyFont="1"/>
    <xf numFmtId="0" fontId="17" fillId="2" borderId="0" xfId="0" applyFont="1" applyFill="1" applyAlignment="1">
      <alignment horizontal="left"/>
    </xf>
    <xf numFmtId="0" fontId="16" fillId="2" borderId="0" xfId="0" applyFont="1" applyFill="1"/>
    <xf numFmtId="0" fontId="17" fillId="0" borderId="0" xfId="0" applyFont="1" applyAlignment="1">
      <alignment horizontal="right"/>
    </xf>
    <xf numFmtId="0" fontId="17" fillId="2" borderId="0" xfId="0" applyFont="1" applyFill="1"/>
    <xf numFmtId="0" fontId="17" fillId="2" borderId="0" xfId="0" applyFont="1" applyFill="1" applyAlignment="1">
      <alignment horizontal="right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/>
    <xf numFmtId="0" fontId="9" fillId="2" borderId="0" xfId="0" applyFont="1" applyFill="1"/>
    <xf numFmtId="49" fontId="0" fillId="0" borderId="0" xfId="0" applyNumberFormat="1"/>
    <xf numFmtId="0" fontId="18" fillId="2" borderId="0" xfId="0" applyFont="1" applyFill="1"/>
    <xf numFmtId="0" fontId="19" fillId="2" borderId="0" xfId="0" applyFont="1" applyFill="1"/>
    <xf numFmtId="0" fontId="15" fillId="0" borderId="0" xfId="0" applyFont="1" applyAlignment="1">
      <alignment wrapText="1"/>
    </xf>
    <xf numFmtId="0" fontId="0" fillId="0" borderId="0" xfId="0" applyBorder="1"/>
    <xf numFmtId="0" fontId="0" fillId="0" borderId="0" xfId="0" applyBorder="1" applyProtection="1">
      <protection locked="0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8" borderId="5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7" borderId="5" xfId="0" applyFill="1" applyBorder="1" applyAlignment="1">
      <alignment horizontal="center"/>
    </xf>
    <xf numFmtId="0" fontId="0" fillId="4" borderId="5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6" borderId="0" xfId="0" applyFill="1" applyAlignment="1"/>
    <xf numFmtId="0" fontId="0" fillId="7" borderId="1" xfId="0" applyFill="1" applyBorder="1" applyAlignment="1"/>
    <xf numFmtId="0" fontId="0" fillId="8" borderId="0" xfId="0" applyFill="1" applyAlignment="1"/>
    <xf numFmtId="0" fontId="0" fillId="7" borderId="5" xfId="0" applyFill="1" applyBorder="1" applyAlignment="1"/>
    <xf numFmtId="0" fontId="0" fillId="8" borderId="5" xfId="0" applyFill="1" applyBorder="1" applyAlignment="1"/>
    <xf numFmtId="0" fontId="0" fillId="0" borderId="0" xfId="0" applyAlignment="1"/>
    <xf numFmtId="0" fontId="0" fillId="4" borderId="0" xfId="0" applyFill="1" applyAlignment="1"/>
    <xf numFmtId="0" fontId="11" fillId="4" borderId="0" xfId="0" applyFont="1" applyFill="1" applyAlignment="1"/>
    <xf numFmtId="0" fontId="13" fillId="2" borderId="0" xfId="0" applyFont="1" applyFill="1" applyAlignment="1"/>
    <xf numFmtId="0" fontId="0" fillId="4" borderId="5" xfId="0" applyFill="1" applyBorder="1" applyAlignment="1"/>
    <xf numFmtId="0" fontId="0" fillId="0" borderId="2" xfId="0" applyBorder="1" applyAlignment="1"/>
    <xf numFmtId="0" fontId="0" fillId="4" borderId="5" xfId="0" applyFill="1" applyBorder="1" applyAlignment="1" applyProtection="1">
      <protection locked="0"/>
    </xf>
    <xf numFmtId="0" fontId="0" fillId="0" borderId="28" xfId="0" applyBorder="1" applyAlignment="1"/>
    <xf numFmtId="0" fontId="0" fillId="0" borderId="28" xfId="0" applyBorder="1" applyAlignment="1">
      <alignment vertical="center"/>
    </xf>
    <xf numFmtId="0" fontId="1" fillId="0" borderId="0" xfId="0" applyFont="1" applyAlignment="1"/>
    <xf numFmtId="0" fontId="0" fillId="0" borderId="1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4" xfId="0" applyBorder="1" applyAlignment="1"/>
    <xf numFmtId="0" fontId="0" fillId="0" borderId="7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9" fillId="0" borderId="0" xfId="0" applyFont="1" applyAlignment="1"/>
    <xf numFmtId="0" fontId="9" fillId="9" borderId="0" xfId="0" applyFont="1" applyFill="1" applyAlignment="1"/>
    <xf numFmtId="0" fontId="0" fillId="9" borderId="0" xfId="0" applyFill="1" applyAlignment="1"/>
    <xf numFmtId="0" fontId="0" fillId="4" borderId="6" xfId="0" applyFill="1" applyBorder="1" applyAlignment="1"/>
    <xf numFmtId="0" fontId="0" fillId="4" borderId="8" xfId="0" applyFill="1" applyBorder="1" applyAlignment="1"/>
    <xf numFmtId="0" fontId="0" fillId="7" borderId="6" xfId="0" applyFill="1" applyBorder="1" applyAlignment="1"/>
    <xf numFmtId="0" fontId="0" fillId="7" borderId="8" xfId="0" applyFill="1" applyBorder="1" applyAlignment="1"/>
    <xf numFmtId="0" fontId="0" fillId="3" borderId="0" xfId="0" applyFill="1" applyAlignment="1">
      <alignment vertical="center"/>
    </xf>
    <xf numFmtId="0" fontId="0" fillId="8" borderId="6" xfId="0" applyFill="1" applyBorder="1" applyAlignment="1"/>
    <xf numFmtId="0" fontId="0" fillId="8" borderId="8" xfId="0" applyFill="1" applyBorder="1" applyAlignment="1"/>
    <xf numFmtId="168" fontId="0" fillId="4" borderId="6" xfId="0" applyNumberFormat="1" applyFill="1" applyBorder="1" applyAlignment="1" applyProtection="1">
      <protection locked="0"/>
    </xf>
    <xf numFmtId="168" fontId="0" fillId="4" borderId="8" xfId="0" applyNumberFormat="1" applyFill="1" applyBorder="1" applyAlignment="1" applyProtection="1">
      <protection locked="0"/>
    </xf>
    <xf numFmtId="2" fontId="0" fillId="4" borderId="6" xfId="0" applyNumberFormat="1" applyFill="1" applyBorder="1" applyAlignment="1"/>
    <xf numFmtId="2" fontId="0" fillId="4" borderId="8" xfId="0" applyNumberFormat="1" applyFill="1" applyBorder="1" applyAlignment="1"/>
    <xf numFmtId="166" fontId="0" fillId="4" borderId="6" xfId="0" applyNumberFormat="1" applyFill="1" applyBorder="1" applyAlignment="1"/>
    <xf numFmtId="166" fontId="0" fillId="4" borderId="8" xfId="0" applyNumberFormat="1" applyFill="1" applyBorder="1" applyAlignment="1"/>
    <xf numFmtId="167" fontId="0" fillId="4" borderId="6" xfId="0" applyNumberFormat="1" applyFill="1" applyBorder="1" applyAlignment="1"/>
    <xf numFmtId="167" fontId="0" fillId="4" borderId="7" xfId="0" applyNumberFormat="1" applyFill="1" applyBorder="1" applyAlignment="1"/>
    <xf numFmtId="167" fontId="0" fillId="4" borderId="8" xfId="0" applyNumberFormat="1" applyFill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5" fillId="2" borderId="0" xfId="0" applyFont="1" applyFill="1" applyAlignment="1">
      <alignment vertical="center"/>
    </xf>
    <xf numFmtId="0" fontId="0" fillId="0" borderId="35" xfId="0" applyBorder="1"/>
    <xf numFmtId="0" fontId="0" fillId="0" borderId="36" xfId="0" applyBorder="1"/>
    <xf numFmtId="0" fontId="0" fillId="0" borderId="4" xfId="0" applyBorder="1"/>
    <xf numFmtId="0" fontId="0" fillId="0" borderId="37" xfId="0" applyBorder="1"/>
    <xf numFmtId="2" fontId="0" fillId="0" borderId="1" xfId="0" applyNumberFormat="1" applyBorder="1"/>
    <xf numFmtId="0" fontId="0" fillId="0" borderId="23" xfId="0" applyBorder="1"/>
    <xf numFmtId="0" fontId="0" fillId="6" borderId="3" xfId="0" applyFill="1" applyBorder="1"/>
    <xf numFmtId="0" fontId="0" fillId="6" borderId="0" xfId="0" applyFill="1" applyBorder="1"/>
    <xf numFmtId="0" fontId="0" fillId="6" borderId="36" xfId="0" applyFill="1" applyBorder="1"/>
    <xf numFmtId="0" fontId="0" fillId="6" borderId="35" xfId="0" applyFill="1" applyBorder="1"/>
    <xf numFmtId="0" fontId="0" fillId="6" borderId="2" xfId="0" applyFill="1" applyBorder="1"/>
    <xf numFmtId="2" fontId="0" fillId="0" borderId="37" xfId="0" applyNumberFormat="1" applyBorder="1"/>
    <xf numFmtId="0" fontId="0" fillId="6" borderId="33" xfId="0" applyFill="1" applyBorder="1"/>
    <xf numFmtId="2" fontId="0" fillId="0" borderId="24" xfId="0" applyNumberFormat="1" applyBorder="1"/>
    <xf numFmtId="0" fontId="0" fillId="0" borderId="0" xfId="0" applyNumberFormat="1"/>
    <xf numFmtId="2" fontId="25" fillId="6" borderId="0" xfId="0" applyNumberFormat="1" applyFont="1" applyFill="1" applyAlignment="1">
      <alignment horizontal="center" vertical="center"/>
    </xf>
    <xf numFmtId="165" fontId="0" fillId="0" borderId="0" xfId="0" applyNumberFormat="1"/>
    <xf numFmtId="0" fontId="0" fillId="10" borderId="15" xfId="0" applyFill="1" applyBorder="1" applyAlignment="1"/>
    <xf numFmtId="0" fontId="0" fillId="10" borderId="16" xfId="0" applyFill="1" applyBorder="1" applyAlignment="1"/>
    <xf numFmtId="0" fontId="0" fillId="8" borderId="18" xfId="0" applyFill="1" applyBorder="1" applyAlignment="1"/>
    <xf numFmtId="0" fontId="0" fillId="10" borderId="18" xfId="0" applyFill="1" applyBorder="1" applyAlignment="1"/>
    <xf numFmtId="0" fontId="0" fillId="10" borderId="0" xfId="0" applyFill="1" applyAlignment="1"/>
    <xf numFmtId="0" fontId="0" fillId="10" borderId="20" xfId="0" applyFill="1" applyBorder="1" applyAlignment="1"/>
    <xf numFmtId="0" fontId="0" fillId="10" borderId="21" xfId="0" applyFill="1" applyBorder="1" applyAlignment="1"/>
    <xf numFmtId="0" fontId="0" fillId="0" borderId="0" xfId="0" applyBorder="1" applyAlignment="1"/>
    <xf numFmtId="0" fontId="0" fillId="10" borderId="22" xfId="0" applyFill="1" applyBorder="1" applyAlignment="1"/>
    <xf numFmtId="0" fontId="0" fillId="10" borderId="19" xfId="0" applyFill="1" applyBorder="1" applyAlignment="1"/>
    <xf numFmtId="0" fontId="0" fillId="8" borderId="19" xfId="0" applyFill="1" applyBorder="1" applyAlignment="1"/>
    <xf numFmtId="0" fontId="0" fillId="10" borderId="17" xfId="0" applyFill="1" applyBorder="1" applyAlignment="1"/>
    <xf numFmtId="0" fontId="0" fillId="0" borderId="39" xfId="0" applyBorder="1" applyAlignment="1"/>
    <xf numFmtId="0" fontId="0" fillId="0" borderId="40" xfId="0" applyBorder="1" applyAlignment="1"/>
    <xf numFmtId="0" fontId="0" fillId="0" borderId="35" xfId="0" applyBorder="1" applyAlignment="1"/>
    <xf numFmtId="0" fontId="0" fillId="0" borderId="3" xfId="0" applyBorder="1" applyAlignment="1"/>
    <xf numFmtId="49" fontId="0" fillId="5" borderId="0" xfId="0" applyNumberFormat="1" applyFill="1" applyAlignment="1">
      <alignment horizontal="center"/>
    </xf>
    <xf numFmtId="1" fontId="0" fillId="10" borderId="16" xfId="0" applyNumberFormat="1" applyFill="1" applyBorder="1" applyAlignment="1"/>
    <xf numFmtId="1" fontId="0" fillId="8" borderId="0" xfId="0" applyNumberFormat="1" applyFill="1" applyAlignment="1"/>
    <xf numFmtId="1" fontId="0" fillId="10" borderId="0" xfId="0" applyNumberFormat="1" applyFill="1" applyAlignment="1"/>
    <xf numFmtId="1" fontId="0" fillId="10" borderId="21" xfId="0" applyNumberFormat="1" applyFill="1" applyBorder="1" applyAlignment="1"/>
    <xf numFmtId="0" fontId="0" fillId="10" borderId="16" xfId="1" applyNumberFormat="1" applyFont="1" applyFill="1" applyBorder="1" applyAlignment="1"/>
    <xf numFmtId="0" fontId="0" fillId="8" borderId="0" xfId="1" applyNumberFormat="1" applyFont="1" applyFill="1" applyAlignment="1"/>
    <xf numFmtId="0" fontId="0" fillId="10" borderId="0" xfId="1" applyNumberFormat="1" applyFont="1" applyFill="1" applyAlignment="1"/>
    <xf numFmtId="0" fontId="0" fillId="10" borderId="21" xfId="1" applyNumberFormat="1" applyFont="1" applyFill="1" applyBorder="1" applyAlignment="1"/>
    <xf numFmtId="0" fontId="0" fillId="10" borderId="16" xfId="0" applyNumberFormat="1" applyFill="1" applyBorder="1" applyAlignment="1"/>
    <xf numFmtId="0" fontId="0" fillId="8" borderId="0" xfId="0" applyNumberFormat="1" applyFill="1" applyAlignment="1"/>
    <xf numFmtId="0" fontId="0" fillId="10" borderId="0" xfId="0" applyNumberFormat="1" applyFill="1" applyAlignment="1"/>
    <xf numFmtId="0" fontId="0" fillId="10" borderId="21" xfId="0" applyNumberFormat="1" applyFill="1" applyBorder="1" applyAlignment="1"/>
    <xf numFmtId="0" fontId="0" fillId="11" borderId="16" xfId="0" applyNumberFormat="1" applyFill="1" applyBorder="1" applyAlignment="1"/>
    <xf numFmtId="0" fontId="0" fillId="7" borderId="0" xfId="0" applyNumberFormat="1" applyFill="1" applyAlignment="1"/>
    <xf numFmtId="0" fontId="0" fillId="11" borderId="0" xfId="0" applyNumberFormat="1" applyFill="1" applyAlignment="1"/>
    <xf numFmtId="0" fontId="0" fillId="11" borderId="21" xfId="0" applyNumberFormat="1" applyFill="1" applyBorder="1" applyAlignment="1"/>
    <xf numFmtId="165" fontId="0" fillId="0" borderId="0" xfId="0" applyNumberFormat="1" applyAlignment="1">
      <alignment horizont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165" fontId="0" fillId="5" borderId="0" xfId="0" applyNumberFormat="1" applyFill="1" applyAlignment="1">
      <alignment horizontal="center"/>
    </xf>
    <xf numFmtId="0" fontId="0" fillId="0" borderId="0" xfId="0" applyNumberFormat="1" applyFill="1" applyBorder="1" applyAlignment="1"/>
    <xf numFmtId="0" fontId="0" fillId="0" borderId="0" xfId="0" applyBorder="1" applyAlignment="1">
      <alignment horizontal="center"/>
    </xf>
    <xf numFmtId="0" fontId="0" fillId="9" borderId="0" xfId="0" applyFill="1"/>
    <xf numFmtId="0" fontId="0" fillId="9" borderId="0" xfId="0" applyFill="1" applyBorder="1" applyAlignment="1" applyProtection="1">
      <alignment vertical="center"/>
    </xf>
    <xf numFmtId="0" fontId="0" fillId="9" borderId="0" xfId="0" applyFill="1" applyBorder="1"/>
    <xf numFmtId="49" fontId="0" fillId="0" borderId="41" xfId="0" applyNumberFormat="1" applyFill="1" applyBorder="1" applyAlignment="1" applyProtection="1">
      <alignment horizontal="left" vertical="center"/>
      <protection locked="0"/>
    </xf>
    <xf numFmtId="0" fontId="0" fillId="0" borderId="41" xfId="0" applyFill="1" applyBorder="1" applyAlignment="1" applyProtection="1">
      <alignment horizontal="left" vertical="center"/>
      <protection locked="0"/>
    </xf>
    <xf numFmtId="164" fontId="0" fillId="0" borderId="41" xfId="0" applyNumberFormat="1" applyFill="1" applyBorder="1" applyAlignment="1" applyProtection="1">
      <alignment horizontal="left" vertical="center"/>
      <protection locked="0"/>
    </xf>
    <xf numFmtId="170" fontId="4" fillId="0" borderId="41" xfId="0" applyNumberFormat="1" applyFont="1" applyFill="1" applyBorder="1" applyAlignment="1" applyProtection="1">
      <alignment horizontal="left" vertical="center"/>
      <protection locked="0"/>
    </xf>
    <xf numFmtId="14" fontId="0" fillId="0" borderId="41" xfId="0" applyNumberForma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8" fillId="0" borderId="0" xfId="0" applyFont="1" applyFill="1" applyAlignment="1">
      <alignment vertical="center"/>
    </xf>
    <xf numFmtId="14" fontId="14" fillId="0" borderId="0" xfId="0" applyNumberFormat="1" applyFont="1" applyFill="1" applyAlignment="1">
      <alignment horizontal="left" vertical="center"/>
    </xf>
    <xf numFmtId="49" fontId="0" fillId="9" borderId="41" xfId="0" applyNumberFormat="1" applyFill="1" applyBorder="1" applyAlignment="1">
      <alignment horizontal="center" vertical="center"/>
    </xf>
    <xf numFmtId="0" fontId="0" fillId="9" borderId="0" xfId="0" applyFill="1" applyBorder="1" applyAlignment="1">
      <alignment horizontal="right"/>
    </xf>
    <xf numFmtId="2" fontId="0" fillId="9" borderId="41" xfId="0" applyNumberFormat="1" applyFill="1" applyBorder="1" applyAlignment="1">
      <alignment horizontal="center"/>
    </xf>
    <xf numFmtId="0" fontId="4" fillId="9" borderId="0" xfId="0" applyFont="1" applyFill="1" applyBorder="1" applyAlignment="1"/>
    <xf numFmtId="169" fontId="0" fillId="9" borderId="0" xfId="0" applyNumberFormat="1" applyFill="1" applyBorder="1" applyAlignment="1">
      <alignment horizontal="center"/>
    </xf>
    <xf numFmtId="0" fontId="7" fillId="9" borderId="0" xfId="0" applyFont="1" applyFill="1" applyBorder="1"/>
    <xf numFmtId="165" fontId="4" fillId="9" borderId="41" xfId="0" applyNumberFormat="1" applyFont="1" applyFill="1" applyBorder="1" applyAlignment="1">
      <alignment horizontal="center"/>
    </xf>
    <xf numFmtId="2" fontId="4" fillId="9" borderId="41" xfId="0" applyNumberFormat="1" applyFont="1" applyFill="1" applyBorder="1" applyAlignment="1">
      <alignment horizontal="center"/>
    </xf>
    <xf numFmtId="0" fontId="0" fillId="9" borderId="45" xfId="0" applyFill="1" applyBorder="1"/>
    <xf numFmtId="169" fontId="0" fillId="9" borderId="46" xfId="0" applyNumberFormat="1" applyFill="1" applyBorder="1" applyAlignment="1">
      <alignment horizontal="center"/>
    </xf>
    <xf numFmtId="0" fontId="0" fillId="9" borderId="48" xfId="0" applyFill="1" applyBorder="1"/>
    <xf numFmtId="0" fontId="0" fillId="9" borderId="50" xfId="0" applyFill="1" applyBorder="1"/>
    <xf numFmtId="169" fontId="0" fillId="9" borderId="51" xfId="0" applyNumberFormat="1" applyFill="1" applyBorder="1" applyAlignment="1">
      <alignment horizontal="center"/>
    </xf>
    <xf numFmtId="0" fontId="30" fillId="9" borderId="0" xfId="0" applyFont="1" applyFill="1" applyBorder="1" applyAlignment="1">
      <alignment horizontal="left"/>
    </xf>
    <xf numFmtId="0" fontId="5" fillId="9" borderId="0" xfId="0" applyFont="1" applyFill="1" applyAlignment="1">
      <alignment vertical="center"/>
    </xf>
    <xf numFmtId="0" fontId="5" fillId="9" borderId="0" xfId="0" applyFont="1" applyFill="1" applyAlignment="1">
      <alignment horizontal="center" vertical="center"/>
    </xf>
    <xf numFmtId="0" fontId="0" fillId="9" borderId="17" xfId="0" applyFill="1" applyBorder="1" applyAlignment="1">
      <alignment vertical="center"/>
    </xf>
    <xf numFmtId="0" fontId="0" fillId="9" borderId="19" xfId="0" applyFill="1" applyBorder="1" applyAlignment="1">
      <alignment vertical="center"/>
    </xf>
    <xf numFmtId="0" fontId="0" fillId="9" borderId="22" xfId="0" applyFill="1" applyBorder="1" applyAlignment="1">
      <alignment vertical="center"/>
    </xf>
    <xf numFmtId="173" fontId="0" fillId="0" borderId="41" xfId="0" applyNumberFormat="1" applyFill="1" applyBorder="1" applyAlignment="1" applyProtection="1">
      <alignment horizontal="center"/>
      <protection locked="0"/>
    </xf>
    <xf numFmtId="2" fontId="0" fillId="0" borderId="41" xfId="0" applyNumberFormat="1" applyFill="1" applyBorder="1" applyAlignment="1" applyProtection="1">
      <alignment horizontal="center"/>
      <protection locked="0"/>
    </xf>
    <xf numFmtId="165" fontId="0" fillId="9" borderId="41" xfId="1" applyNumberFormat="1" applyFont="1" applyFill="1" applyBorder="1" applyAlignment="1" applyProtection="1">
      <alignment horizontal="center"/>
    </xf>
    <xf numFmtId="172" fontId="0" fillId="9" borderId="41" xfId="0" applyNumberFormat="1" applyFill="1" applyBorder="1" applyAlignment="1" applyProtection="1">
      <alignment horizontal="center"/>
    </xf>
    <xf numFmtId="0" fontId="0" fillId="9" borderId="0" xfId="0" applyFill="1" applyBorder="1" applyAlignment="1" applyProtection="1"/>
    <xf numFmtId="165" fontId="0" fillId="9" borderId="41" xfId="0" applyNumberFormat="1" applyFill="1" applyBorder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0" fillId="9" borderId="0" xfId="0" applyFill="1" applyBorder="1" applyProtection="1"/>
    <xf numFmtId="0" fontId="0" fillId="9" borderId="41" xfId="0" applyFill="1" applyBorder="1" applyAlignment="1">
      <alignment horizontal="center"/>
    </xf>
    <xf numFmtId="171" fontId="0" fillId="9" borderId="41" xfId="0" applyNumberFormat="1" applyFill="1" applyBorder="1" applyAlignment="1" applyProtection="1">
      <alignment horizontal="center"/>
    </xf>
    <xf numFmtId="0" fontId="0" fillId="9" borderId="0" xfId="0" applyFill="1" applyBorder="1" applyAlignment="1" applyProtection="1">
      <alignment horizontal="center" vertical="center"/>
    </xf>
    <xf numFmtId="0" fontId="0" fillId="9" borderId="0" xfId="0" applyFill="1" applyBorder="1" applyAlignment="1">
      <alignment horizontal="center"/>
    </xf>
    <xf numFmtId="0" fontId="6" fillId="9" borderId="0" xfId="0" applyFont="1" applyFill="1" applyBorder="1" applyAlignment="1"/>
    <xf numFmtId="0" fontId="0" fillId="9" borderId="0" xfId="0" applyFill="1" applyBorder="1" applyAlignment="1"/>
    <xf numFmtId="0" fontId="0" fillId="0" borderId="41" xfId="0" applyFill="1" applyBorder="1" applyAlignment="1" applyProtection="1">
      <alignment horizontal="center"/>
      <protection locked="0"/>
    </xf>
    <xf numFmtId="165" fontId="0" fillId="0" borderId="41" xfId="0" applyNumberFormat="1" applyFill="1" applyBorder="1" applyAlignment="1" applyProtection="1">
      <alignment horizontal="center"/>
      <protection locked="0"/>
    </xf>
    <xf numFmtId="174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0" fontId="0" fillId="0" borderId="48" xfId="0" applyBorder="1"/>
    <xf numFmtId="0" fontId="0" fillId="0" borderId="49" xfId="0" applyBorder="1"/>
    <xf numFmtId="2" fontId="0" fillId="0" borderId="48" xfId="0" applyNumberFormat="1" applyBorder="1"/>
    <xf numFmtId="0" fontId="0" fillId="0" borderId="50" xfId="0" applyBorder="1"/>
    <xf numFmtId="0" fontId="0" fillId="0" borderId="52" xfId="0" applyBorder="1"/>
    <xf numFmtId="0" fontId="0" fillId="6" borderId="48" xfId="0" applyFill="1" applyBorder="1"/>
    <xf numFmtId="0" fontId="0" fillId="6" borderId="45" xfId="0" applyFill="1" applyBorder="1"/>
    <xf numFmtId="0" fontId="0" fillId="6" borderId="47" xfId="0" applyFill="1" applyBorder="1"/>
    <xf numFmtId="0" fontId="0" fillId="6" borderId="49" xfId="0" applyFill="1" applyBorder="1"/>
    <xf numFmtId="0" fontId="0" fillId="9" borderId="46" xfId="0" applyFill="1" applyBorder="1"/>
    <xf numFmtId="0" fontId="0" fillId="9" borderId="47" xfId="0" applyFill="1" applyBorder="1"/>
    <xf numFmtId="0" fontId="0" fillId="9" borderId="49" xfId="0" applyFill="1" applyBorder="1"/>
    <xf numFmtId="0" fontId="0" fillId="9" borderId="51" xfId="0" applyFill="1" applyBorder="1"/>
    <xf numFmtId="0" fontId="0" fillId="9" borderId="52" xfId="0" applyFill="1" applyBorder="1"/>
    <xf numFmtId="0" fontId="0" fillId="9" borderId="54" xfId="0" applyFill="1" applyBorder="1" applyAlignment="1">
      <alignment vertical="center"/>
    </xf>
    <xf numFmtId="0" fontId="0" fillId="9" borderId="56" xfId="0" applyFill="1" applyBorder="1" applyAlignment="1">
      <alignment vertical="center"/>
    </xf>
    <xf numFmtId="0" fontId="6" fillId="9" borderId="0" xfId="0" applyFont="1" applyFill="1" applyBorder="1" applyAlignment="1" applyProtection="1"/>
    <xf numFmtId="0" fontId="0" fillId="9" borderId="45" xfId="0" applyFill="1" applyBorder="1" applyAlignment="1">
      <alignment vertical="center" wrapText="1"/>
    </xf>
    <xf numFmtId="0" fontId="0" fillId="9" borderId="46" xfId="0" applyFill="1" applyBorder="1" applyAlignment="1">
      <alignment vertical="center" wrapText="1"/>
    </xf>
    <xf numFmtId="0" fontId="0" fillId="9" borderId="46" xfId="0" applyFill="1" applyBorder="1" applyAlignment="1">
      <alignment vertical="center"/>
    </xf>
    <xf numFmtId="0" fontId="1" fillId="9" borderId="46" xfId="0" applyFont="1" applyFill="1" applyBorder="1" applyAlignment="1" applyProtection="1">
      <alignment horizontal="center"/>
    </xf>
    <xf numFmtId="0" fontId="1" fillId="9" borderId="46" xfId="0" applyFont="1" applyFill="1" applyBorder="1" applyAlignment="1" applyProtection="1">
      <alignment horizontal="center" vertical="center"/>
    </xf>
    <xf numFmtId="0" fontId="0" fillId="9" borderId="46" xfId="0" applyFill="1" applyBorder="1" applyProtection="1"/>
    <xf numFmtId="0" fontId="0" fillId="9" borderId="47" xfId="0" applyFill="1" applyBorder="1" applyProtection="1"/>
    <xf numFmtId="0" fontId="0" fillId="9" borderId="48" xfId="0" applyFill="1" applyBorder="1" applyAlignment="1">
      <alignment vertical="center" wrapText="1"/>
    </xf>
    <xf numFmtId="0" fontId="0" fillId="9" borderId="49" xfId="0" applyFill="1" applyBorder="1" applyProtection="1"/>
    <xf numFmtId="0" fontId="0" fillId="9" borderId="0" xfId="0" applyFill="1" applyBorder="1" applyAlignment="1">
      <alignment vertical="center" wrapText="1"/>
    </xf>
    <xf numFmtId="0" fontId="0" fillId="9" borderId="0" xfId="0" applyFill="1" applyBorder="1" applyAlignment="1">
      <alignment vertical="center"/>
    </xf>
    <xf numFmtId="0" fontId="0" fillId="9" borderId="50" xfId="0" applyFill="1" applyBorder="1" applyAlignment="1">
      <alignment vertical="center" wrapText="1"/>
    </xf>
    <xf numFmtId="0" fontId="0" fillId="9" borderId="51" xfId="0" applyFill="1" applyBorder="1" applyAlignment="1">
      <alignment vertical="center" wrapText="1"/>
    </xf>
    <xf numFmtId="0" fontId="0" fillId="9" borderId="51" xfId="0" applyFill="1" applyBorder="1" applyAlignment="1">
      <alignment vertical="center"/>
    </xf>
    <xf numFmtId="0" fontId="0" fillId="9" borderId="51" xfId="0" applyFill="1" applyBorder="1" applyProtection="1"/>
    <xf numFmtId="0" fontId="0" fillId="9" borderId="51" xfId="0" applyFill="1" applyBorder="1" applyAlignment="1" applyProtection="1">
      <alignment vertical="center"/>
    </xf>
    <xf numFmtId="0" fontId="0" fillId="9" borderId="52" xfId="0" applyFill="1" applyBorder="1" applyProtection="1"/>
    <xf numFmtId="49" fontId="0" fillId="9" borderId="0" xfId="0" applyNumberFormat="1" applyFill="1" applyBorder="1"/>
    <xf numFmtId="0" fontId="6" fillId="9" borderId="47" xfId="0" applyFont="1" applyFill="1" applyBorder="1" applyAlignment="1"/>
    <xf numFmtId="0" fontId="6" fillId="9" borderId="49" xfId="0" applyFont="1" applyFill="1" applyBorder="1" applyAlignment="1"/>
    <xf numFmtId="0" fontId="0" fillId="9" borderId="51" xfId="0" applyFill="1" applyBorder="1" applyAlignment="1">
      <alignment horizontal="center"/>
    </xf>
    <xf numFmtId="0" fontId="0" fillId="0" borderId="0" xfId="0" applyAlignment="1">
      <alignment horizontal="right"/>
    </xf>
    <xf numFmtId="0" fontId="0" fillId="9" borderId="0" xfId="0" applyFill="1" applyBorder="1" applyAlignment="1">
      <alignment horizontal="center"/>
    </xf>
    <xf numFmtId="0" fontId="0" fillId="9" borderId="0" xfId="0" applyFill="1" applyBorder="1" applyAlignment="1">
      <alignment horizontal="right"/>
    </xf>
    <xf numFmtId="0" fontId="0" fillId="6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7" fillId="2" borderId="0" xfId="0" applyFont="1" applyFill="1" applyAlignment="1">
      <alignment horizontal="center"/>
    </xf>
    <xf numFmtId="0" fontId="0" fillId="9" borderId="0" xfId="0" applyFill="1" applyBorder="1" applyAlignment="1" applyProtection="1">
      <alignment horizontal="center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4" xfId="0" applyBorder="1" applyAlignment="1">
      <alignment horizontal="right"/>
    </xf>
    <xf numFmtId="0" fontId="33" fillId="0" borderId="0" xfId="0" applyFont="1" applyAlignment="1">
      <alignment vertical="center"/>
    </xf>
    <xf numFmtId="0" fontId="33" fillId="0" borderId="60" xfId="0" applyFont="1" applyBorder="1" applyAlignment="1">
      <alignment vertical="center"/>
    </xf>
    <xf numFmtId="0" fontId="34" fillId="0" borderId="0" xfId="0" applyFont="1"/>
    <xf numFmtId="0" fontId="34" fillId="0" borderId="60" xfId="0" applyFont="1" applyBorder="1"/>
    <xf numFmtId="0" fontId="34" fillId="0" borderId="0" xfId="0" applyFont="1" applyAlignment="1">
      <alignment vertical="center"/>
    </xf>
    <xf numFmtId="0" fontId="0" fillId="0" borderId="60" xfId="0" applyBorder="1"/>
    <xf numFmtId="14" fontId="15" fillId="4" borderId="0" xfId="0" applyNumberFormat="1" applyFont="1" applyFill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1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>
      <alignment horizontal="right"/>
    </xf>
    <xf numFmtId="14" fontId="0" fillId="0" borderId="60" xfId="0" applyNumberForma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4" borderId="0" xfId="0" applyFill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0" fontId="0" fillId="0" borderId="60" xfId="0" applyBorder="1" applyAlignment="1">
      <alignment horizontal="center"/>
    </xf>
    <xf numFmtId="2" fontId="0" fillId="0" borderId="0" xfId="1" applyNumberFormat="1" applyFont="1" applyAlignment="1" applyProtection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0" fontId="1" fillId="0" borderId="60" xfId="0" applyFont="1" applyBorder="1"/>
    <xf numFmtId="0" fontId="0" fillId="0" borderId="0" xfId="0" applyAlignment="1" applyProtection="1">
      <alignment horizontal="center"/>
      <protection locked="0"/>
    </xf>
    <xf numFmtId="0" fontId="6" fillId="0" borderId="0" xfId="0" applyFont="1" applyAlignment="1">
      <alignment horizontal="center" vertical="center" textRotation="90"/>
    </xf>
    <xf numFmtId="14" fontId="0" fillId="0" borderId="60" xfId="0" applyNumberFormat="1" applyBorder="1" applyAlignment="1">
      <alignment horizontal="center"/>
    </xf>
    <xf numFmtId="0" fontId="0" fillId="0" borderId="0" xfId="1" applyNumberFormat="1" applyFont="1" applyFill="1" applyBorder="1" applyAlignment="1" applyProtection="1">
      <alignment horizontal="center"/>
    </xf>
    <xf numFmtId="0" fontId="0" fillId="0" borderId="60" xfId="1" applyNumberFormat="1" applyFont="1" applyFill="1" applyBorder="1" applyAlignment="1" applyProtection="1">
      <alignment horizontal="center"/>
    </xf>
    <xf numFmtId="0" fontId="15" fillId="0" borderId="0" xfId="0" applyFont="1" applyProtection="1">
      <protection locked="0"/>
    </xf>
    <xf numFmtId="0" fontId="15" fillId="0" borderId="0" xfId="0" applyFont="1" applyAlignment="1">
      <alignment vertical="center"/>
    </xf>
    <xf numFmtId="14" fontId="15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14" fontId="15" fillId="0" borderId="34" xfId="0" applyNumberFormat="1" applyFont="1" applyBorder="1" applyAlignment="1">
      <alignment horizontal="center"/>
    </xf>
    <xf numFmtId="14" fontId="0" fillId="0" borderId="34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2" fontId="0" fillId="4" borderId="0" xfId="0" applyNumberFormat="1" applyFill="1" applyAlignment="1" applyProtection="1">
      <alignment horizontal="center" vertical="center"/>
      <protection locked="0"/>
    </xf>
    <xf numFmtId="165" fontId="0" fillId="4" borderId="0" xfId="0" applyNumberFormat="1" applyFill="1" applyAlignment="1" applyProtection="1">
      <alignment horizontal="center" vertical="center"/>
      <protection locked="0"/>
    </xf>
    <xf numFmtId="0" fontId="0" fillId="9" borderId="0" xfId="0" applyFill="1" applyBorder="1" applyAlignment="1" applyProtection="1">
      <alignment horizontal="center"/>
      <protection locked="0"/>
    </xf>
    <xf numFmtId="0" fontId="0" fillId="9" borderId="0" xfId="0" applyFill="1" applyBorder="1" applyAlignment="1">
      <alignment horizontal="center"/>
    </xf>
    <xf numFmtId="0" fontId="32" fillId="12" borderId="0" xfId="0" applyFont="1" applyFill="1" applyBorder="1" applyAlignment="1" applyProtection="1">
      <alignment horizontal="left"/>
      <protection locked="0"/>
    </xf>
    <xf numFmtId="0" fontId="32" fillId="12" borderId="46" xfId="0" applyFont="1" applyFill="1" applyBorder="1" applyAlignment="1" applyProtection="1">
      <alignment horizontal="left"/>
      <protection locked="0"/>
    </xf>
    <xf numFmtId="0" fontId="0" fillId="9" borderId="0" xfId="0" applyFill="1" applyAlignment="1">
      <alignment horizontal="center"/>
    </xf>
    <xf numFmtId="0" fontId="4" fillId="9" borderId="48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9" borderId="49" xfId="0" applyFont="1" applyFill="1" applyBorder="1" applyAlignment="1">
      <alignment horizontal="center"/>
    </xf>
    <xf numFmtId="0" fontId="31" fillId="12" borderId="0" xfId="0" applyFont="1" applyFill="1" applyBorder="1" applyAlignment="1" applyProtection="1">
      <alignment horizontal="left"/>
      <protection locked="0"/>
    </xf>
    <xf numFmtId="0" fontId="0" fillId="9" borderId="0" xfId="0" applyFill="1" applyBorder="1" applyAlignment="1">
      <alignment horizontal="center" vertical="center"/>
    </xf>
    <xf numFmtId="0" fontId="0" fillId="9" borderId="45" xfId="0" applyFill="1" applyBorder="1" applyAlignment="1">
      <alignment horizontal="center" vertical="center" wrapText="1"/>
    </xf>
    <xf numFmtId="0" fontId="0" fillId="9" borderId="46" xfId="0" applyFill="1" applyBorder="1" applyAlignment="1">
      <alignment horizontal="center" vertical="center" wrapText="1"/>
    </xf>
    <xf numFmtId="0" fontId="0" fillId="9" borderId="47" xfId="0" applyFill="1" applyBorder="1" applyAlignment="1">
      <alignment horizontal="center" vertical="center" wrapText="1"/>
    </xf>
    <xf numFmtId="0" fontId="0" fillId="9" borderId="48" xfId="0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0" fillId="9" borderId="49" xfId="0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 wrapText="1"/>
    </xf>
    <xf numFmtId="0" fontId="0" fillId="9" borderId="51" xfId="0" applyFill="1" applyBorder="1" applyAlignment="1">
      <alignment horizontal="center" vertical="center" wrapText="1"/>
    </xf>
    <xf numFmtId="0" fontId="0" fillId="9" borderId="52" xfId="0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 vertical="center"/>
    </xf>
    <xf numFmtId="0" fontId="31" fillId="12" borderId="0" xfId="0" applyFont="1" applyFill="1" applyBorder="1" applyAlignment="1" applyProtection="1">
      <alignment horizontal="left" vertical="center"/>
      <protection locked="0"/>
    </xf>
    <xf numFmtId="0" fontId="30" fillId="12" borderId="0" xfId="0" applyFont="1" applyFill="1" applyBorder="1" applyAlignment="1" applyProtection="1">
      <alignment horizontal="left"/>
      <protection locked="0"/>
    </xf>
    <xf numFmtId="0" fontId="6" fillId="9" borderId="0" xfId="0" applyFont="1" applyFill="1" applyBorder="1" applyAlignment="1">
      <alignment horizontal="center" vertical="top"/>
    </xf>
    <xf numFmtId="0" fontId="0" fillId="9" borderId="0" xfId="0" applyFill="1" applyBorder="1" applyAlignment="1">
      <alignment horizontal="right"/>
    </xf>
    <xf numFmtId="0" fontId="0" fillId="10" borderId="18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0" borderId="42" xfId="0" applyFill="1" applyBorder="1" applyAlignment="1" applyProtection="1">
      <alignment horizontal="left"/>
      <protection locked="0"/>
    </xf>
    <xf numFmtId="0" fontId="0" fillId="0" borderId="43" xfId="0" applyFill="1" applyBorder="1" applyAlignment="1" applyProtection="1">
      <alignment horizontal="left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0" fillId="6" borderId="0" xfId="0" applyFill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10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1" borderId="18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9" fillId="9" borderId="46" xfId="0" applyFont="1" applyFill="1" applyBorder="1" applyAlignment="1">
      <alignment horizontal="right"/>
    </xf>
    <xf numFmtId="0" fontId="9" fillId="9" borderId="0" xfId="0" applyFont="1" applyFill="1" applyBorder="1" applyAlignment="1">
      <alignment horizontal="right"/>
    </xf>
    <xf numFmtId="0" fontId="9" fillId="9" borderId="51" xfId="0" applyFont="1" applyFill="1" applyBorder="1" applyAlignment="1">
      <alignment horizontal="right"/>
    </xf>
    <xf numFmtId="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" fillId="9" borderId="0" xfId="0" applyFont="1" applyFill="1" applyAlignment="1">
      <alignment horizontal="right"/>
    </xf>
    <xf numFmtId="0" fontId="0" fillId="9" borderId="42" xfId="0" applyFill="1" applyBorder="1" applyAlignment="1">
      <alignment horizontal="center" vertical="center"/>
    </xf>
    <xf numFmtId="0" fontId="0" fillId="9" borderId="44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168" fontId="0" fillId="0" borderId="42" xfId="0" applyNumberFormat="1" applyFill="1" applyBorder="1" applyAlignment="1" applyProtection="1">
      <alignment horizontal="center"/>
      <protection locked="0"/>
    </xf>
    <xf numFmtId="168" fontId="0" fillId="0" borderId="44" xfId="0" applyNumberFormat="1" applyFill="1" applyBorder="1" applyAlignment="1" applyProtection="1">
      <alignment horizontal="center"/>
      <protection locked="0"/>
    </xf>
    <xf numFmtId="0" fontId="0" fillId="9" borderId="45" xfId="0" applyFill="1" applyBorder="1" applyAlignment="1">
      <alignment horizontal="center" vertical="center"/>
    </xf>
    <xf numFmtId="0" fontId="0" fillId="9" borderId="46" xfId="0" applyFill="1" applyBorder="1" applyAlignment="1">
      <alignment horizontal="center" vertical="center"/>
    </xf>
    <xf numFmtId="0" fontId="0" fillId="9" borderId="47" xfId="0" applyFill="1" applyBorder="1" applyAlignment="1">
      <alignment horizontal="center" vertical="center"/>
    </xf>
    <xf numFmtId="0" fontId="0" fillId="9" borderId="48" xfId="0" applyFill="1" applyBorder="1" applyAlignment="1">
      <alignment horizontal="center" vertical="center"/>
    </xf>
    <xf numFmtId="0" fontId="0" fillId="9" borderId="49" xfId="0" applyFill="1" applyBorder="1" applyAlignment="1">
      <alignment horizontal="center" vertical="center"/>
    </xf>
    <xf numFmtId="0" fontId="0" fillId="9" borderId="50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9" fillId="9" borderId="42" xfId="0" applyFont="1" applyFill="1" applyBorder="1" applyAlignment="1">
      <alignment horizontal="center"/>
    </xf>
    <xf numFmtId="0" fontId="9" fillId="9" borderId="43" xfId="0" applyFont="1" applyFill="1" applyBorder="1" applyAlignment="1">
      <alignment horizontal="center"/>
    </xf>
    <xf numFmtId="0" fontId="9" fillId="9" borderId="44" xfId="0" applyFont="1" applyFill="1" applyBorder="1" applyAlignment="1">
      <alignment horizontal="center"/>
    </xf>
    <xf numFmtId="0" fontId="0" fillId="0" borderId="0" xfId="0" applyAlignment="1">
      <alignment horizontal="right"/>
    </xf>
    <xf numFmtId="167" fontId="0" fillId="9" borderId="42" xfId="0" applyNumberFormat="1" applyFill="1" applyBorder="1" applyAlignment="1">
      <alignment horizontal="center"/>
    </xf>
    <xf numFmtId="167" fontId="0" fillId="9" borderId="43" xfId="0" applyNumberFormat="1" applyFill="1" applyBorder="1" applyAlignment="1">
      <alignment horizontal="center"/>
    </xf>
    <xf numFmtId="167" fontId="0" fillId="9" borderId="44" xfId="0" applyNumberForma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0" borderId="42" xfId="0" applyFill="1" applyBorder="1" applyAlignment="1" applyProtection="1">
      <alignment horizontal="left" vertical="center"/>
      <protection locked="0"/>
    </xf>
    <xf numFmtId="0" fontId="0" fillId="0" borderId="43" xfId="0" applyFill="1" applyBorder="1" applyAlignment="1" applyProtection="1">
      <alignment horizontal="left" vertical="center"/>
      <protection locked="0"/>
    </xf>
    <xf numFmtId="0" fontId="0" fillId="0" borderId="44" xfId="0" applyFill="1" applyBorder="1" applyAlignment="1" applyProtection="1">
      <alignment horizontal="left" vertical="center"/>
      <protection locked="0"/>
    </xf>
    <xf numFmtId="0" fontId="29" fillId="0" borderId="42" xfId="2" applyFill="1" applyBorder="1" applyAlignment="1" applyProtection="1">
      <alignment horizontal="left" vertical="center"/>
      <protection locked="0"/>
    </xf>
    <xf numFmtId="0" fontId="0" fillId="9" borderId="0" xfId="0" applyFill="1" applyBorder="1" applyAlignment="1">
      <alignment horizontal="left" vertical="top" wrapText="1"/>
    </xf>
    <xf numFmtId="0" fontId="0" fillId="9" borderId="0" xfId="0" applyFill="1" applyBorder="1" applyAlignment="1">
      <alignment horizontal="left" vertical="center" wrapText="1"/>
    </xf>
    <xf numFmtId="0" fontId="0" fillId="0" borderId="58" xfId="0" applyFill="1" applyBorder="1" applyAlignment="1" applyProtection="1">
      <alignment horizontal="center" vertical="center"/>
      <protection locked="0"/>
    </xf>
    <xf numFmtId="0" fontId="0" fillId="0" borderId="53" xfId="0" applyFill="1" applyBorder="1" applyAlignment="1" applyProtection="1">
      <alignment horizontal="center" vertical="center"/>
      <protection locked="0"/>
    </xf>
    <xf numFmtId="0" fontId="0" fillId="0" borderId="59" xfId="0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6" fontId="0" fillId="9" borderId="42" xfId="0" applyNumberFormat="1" applyFill="1" applyBorder="1" applyAlignment="1">
      <alignment horizontal="center"/>
    </xf>
    <xf numFmtId="166" fontId="0" fillId="9" borderId="44" xfId="0" applyNumberFormat="1" applyFill="1" applyBorder="1" applyAlignment="1">
      <alignment horizontal="center"/>
    </xf>
    <xf numFmtId="0" fontId="0" fillId="9" borderId="42" xfId="0" applyFill="1" applyBorder="1" applyAlignment="1">
      <alignment horizontal="center"/>
    </xf>
    <xf numFmtId="0" fontId="0" fillId="0" borderId="45" xfId="0" applyBorder="1" applyAlignment="1" applyProtection="1">
      <alignment horizontal="left" vertical="top" wrapText="1"/>
      <protection locked="0"/>
    </xf>
    <xf numFmtId="0" fontId="0" fillId="0" borderId="46" xfId="0" applyBorder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 vertical="top" wrapText="1"/>
      <protection locked="0"/>
    </xf>
    <xf numFmtId="0" fontId="0" fillId="0" borderId="48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49" xfId="0" applyBorder="1" applyAlignment="1" applyProtection="1">
      <alignment horizontal="left" vertical="top" wrapText="1"/>
      <protection locked="0"/>
    </xf>
    <xf numFmtId="0" fontId="0" fillId="0" borderId="50" xfId="0" applyBorder="1" applyAlignment="1" applyProtection="1">
      <alignment horizontal="left" vertical="top" wrapText="1"/>
      <protection locked="0"/>
    </xf>
    <xf numFmtId="0" fontId="0" fillId="0" borderId="51" xfId="0" applyBorder="1" applyAlignment="1" applyProtection="1">
      <alignment horizontal="left" vertical="top" wrapText="1"/>
      <protection locked="0"/>
    </xf>
    <xf numFmtId="0" fontId="0" fillId="0" borderId="52" xfId="0" applyBorder="1" applyAlignment="1" applyProtection="1">
      <alignment horizontal="left" vertical="top" wrapText="1"/>
      <protection locked="0"/>
    </xf>
    <xf numFmtId="0" fontId="14" fillId="0" borderId="0" xfId="0" applyFont="1" applyFill="1" applyAlignment="1">
      <alignment horizontal="right" vertical="center"/>
    </xf>
    <xf numFmtId="0" fontId="0" fillId="0" borderId="0" xfId="0" applyAlignment="1">
      <alignment horizontal="left"/>
    </xf>
    <xf numFmtId="0" fontId="0" fillId="0" borderId="55" xfId="0" applyFill="1" applyBorder="1" applyAlignment="1" applyProtection="1">
      <alignment horizontal="center" vertical="center"/>
      <protection locked="0"/>
    </xf>
    <xf numFmtId="0" fontId="0" fillId="0" borderId="57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9" borderId="0" xfId="0" applyFill="1" applyBorder="1" applyAlignment="1" applyProtection="1">
      <alignment horizontal="center"/>
    </xf>
    <xf numFmtId="0" fontId="4" fillId="9" borderId="0" xfId="0" applyFont="1" applyFill="1" applyBorder="1" applyAlignment="1">
      <alignment horizontal="right"/>
    </xf>
    <xf numFmtId="0" fontId="4" fillId="9" borderId="46" xfId="0" applyFont="1" applyFill="1" applyBorder="1" applyAlignment="1">
      <alignment horizontal="left"/>
    </xf>
    <xf numFmtId="0" fontId="4" fillId="9" borderId="47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9" borderId="49" xfId="0" applyFont="1" applyFill="1" applyBorder="1" applyAlignment="1">
      <alignment horizontal="left"/>
    </xf>
    <xf numFmtId="0" fontId="4" fillId="9" borderId="51" xfId="0" applyFont="1" applyFill="1" applyBorder="1" applyAlignment="1">
      <alignment horizontal="left"/>
    </xf>
    <xf numFmtId="0" fontId="4" fillId="9" borderId="52" xfId="0" applyFont="1" applyFill="1" applyBorder="1" applyAlignment="1">
      <alignment horizontal="left"/>
    </xf>
    <xf numFmtId="0" fontId="4" fillId="9" borderId="42" xfId="0" applyFont="1" applyFill="1" applyBorder="1" applyAlignment="1">
      <alignment horizontal="center"/>
    </xf>
    <xf numFmtId="0" fontId="4" fillId="9" borderId="43" xfId="0" applyFont="1" applyFill="1" applyBorder="1" applyAlignment="1">
      <alignment horizontal="center"/>
    </xf>
    <xf numFmtId="0" fontId="4" fillId="9" borderId="44" xfId="0" applyFont="1" applyFill="1" applyBorder="1" applyAlignment="1">
      <alignment horizontal="center"/>
    </xf>
    <xf numFmtId="0" fontId="0" fillId="0" borderId="41" xfId="0" applyFill="1" applyBorder="1" applyAlignment="1" applyProtection="1">
      <alignment horizontal="center"/>
      <protection locked="0"/>
    </xf>
    <xf numFmtId="0" fontId="0" fillId="9" borderId="0" xfId="0" applyFill="1" applyBorder="1" applyAlignment="1" applyProtection="1">
      <alignment horizontal="righ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" xfId="0" applyBorder="1" applyAlignment="1">
      <alignment horizontal="right"/>
    </xf>
    <xf numFmtId="0" fontId="15" fillId="0" borderId="0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9" borderId="0" xfId="0" applyFont="1" applyFill="1" applyBorder="1" applyAlignment="1">
      <alignment horizontal="center"/>
    </xf>
    <xf numFmtId="0" fontId="0" fillId="9" borderId="1" xfId="0" applyFill="1" applyBorder="1" applyAlignment="1" applyProtection="1">
      <alignment horizontal="right"/>
      <protection locked="0"/>
    </xf>
    <xf numFmtId="2" fontId="0" fillId="9" borderId="4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9" borderId="48" xfId="0" applyFill="1" applyBorder="1" applyAlignment="1">
      <alignment horizontal="left"/>
    </xf>
    <xf numFmtId="0" fontId="0" fillId="9" borderId="0" xfId="0" applyFill="1" applyBorder="1" applyAlignment="1">
      <alignment horizontal="left"/>
    </xf>
    <xf numFmtId="0" fontId="0" fillId="9" borderId="0" xfId="0" applyFill="1" applyBorder="1" applyAlignment="1">
      <alignment horizontal="right" wrapText="1"/>
    </xf>
    <xf numFmtId="49" fontId="0" fillId="0" borderId="42" xfId="0" applyNumberFormat="1" applyFill="1" applyBorder="1" applyAlignment="1" applyProtection="1">
      <alignment horizontal="left" vertical="center"/>
      <protection locked="0"/>
    </xf>
    <xf numFmtId="49" fontId="0" fillId="0" borderId="43" xfId="0" applyNumberFormat="1" applyFill="1" applyBorder="1" applyAlignment="1" applyProtection="1">
      <alignment horizontal="left" vertical="center"/>
      <protection locked="0"/>
    </xf>
    <xf numFmtId="49" fontId="0" fillId="0" borderId="44" xfId="0" applyNumberFormat="1" applyFill="1" applyBorder="1" applyAlignment="1" applyProtection="1">
      <alignment horizontal="left" vertical="center"/>
      <protection locked="0"/>
    </xf>
    <xf numFmtId="0" fontId="28" fillId="6" borderId="0" xfId="0" applyFont="1" applyFill="1" applyAlignment="1">
      <alignment horizontal="center" vertical="center"/>
    </xf>
    <xf numFmtId="14" fontId="27" fillId="0" borderId="0" xfId="0" applyNumberFormat="1" applyFont="1" applyAlignment="1">
      <alignment horizontal="center"/>
    </xf>
    <xf numFmtId="0" fontId="0" fillId="9" borderId="42" xfId="0" applyFill="1" applyBorder="1" applyAlignment="1" applyProtection="1">
      <alignment horizontal="center"/>
    </xf>
    <xf numFmtId="0" fontId="0" fillId="9" borderId="43" xfId="0" applyFill="1" applyBorder="1" applyAlignment="1" applyProtection="1">
      <alignment horizontal="center"/>
    </xf>
    <xf numFmtId="0" fontId="0" fillId="9" borderId="44" xfId="0" applyFill="1" applyBorder="1" applyAlignment="1" applyProtection="1">
      <alignment horizontal="center"/>
    </xf>
    <xf numFmtId="0" fontId="6" fillId="0" borderId="0" xfId="0" applyFont="1" applyAlignment="1">
      <alignment horizontal="center" vertical="center" textRotation="90"/>
    </xf>
    <xf numFmtId="0" fontId="6" fillId="0" borderId="0" xfId="0" applyFont="1" applyAlignment="1">
      <alignment horizontal="center" textRotation="90"/>
    </xf>
    <xf numFmtId="0" fontId="0" fillId="0" borderId="0" xfId="0" applyAlignment="1" applyProtection="1">
      <alignment horizontal="right"/>
      <protection locked="0"/>
    </xf>
    <xf numFmtId="0" fontId="0" fillId="0" borderId="34" xfId="0" applyBorder="1" applyAlignment="1">
      <alignment horizontal="center"/>
    </xf>
  </cellXfs>
  <cellStyles count="3">
    <cellStyle name="Hiperlink" xfId="2" builtinId="8"/>
    <cellStyle name="Normal" xfId="0" builtinId="0"/>
    <cellStyle name="Porcentagem" xfId="1" builtinId="5"/>
  </cellStyles>
  <dxfs count="174">
    <dxf>
      <numFmt numFmtId="2" formatCode="0.00"/>
    </dxf>
    <dxf>
      <alignment horizontal="general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numFmt numFmtId="2" formatCode="0.00"/>
    </dxf>
    <dxf>
      <alignment horizontal="general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numFmt numFmtId="2" formatCode="0.00"/>
    </dxf>
    <dxf>
      <alignment horizontal="general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numFmt numFmtId="2" formatCode="0.00"/>
    </dxf>
    <dxf>
      <alignment horizontal="general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numFmt numFmtId="2" formatCode="0.00"/>
    </dxf>
    <dxf>
      <alignment horizontal="general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numFmt numFmtId="2" formatCode="0.00"/>
    </dxf>
    <dxf>
      <alignment horizontal="general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66FF33"/>
        </patternFill>
      </fill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CC33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colors>
    <mruColors>
      <color rgb="FFFA72ED"/>
      <color rgb="FFE709D2"/>
      <color rgb="FF66FF33"/>
      <color rgb="FFCC33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styles" Target="styles.xml" /><Relationship Id="rId5" Type="http://schemas.openxmlformats.org/officeDocument/2006/relationships/worksheet" Target="worksheets/sheet5.xml" /><Relationship Id="rId10" Type="http://schemas.openxmlformats.org/officeDocument/2006/relationships/theme" Target="theme/theme1.xml" /><Relationship Id="rId4" Type="http://schemas.openxmlformats.org/officeDocument/2006/relationships/worksheet" Target="worksheets/sheet4.xml" /><Relationship Id="rId9" Type="http://schemas.openxmlformats.org/officeDocument/2006/relationships/externalLink" Target="externalLinks/externalLink1.xml" 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 /><Relationship Id="rId1" Type="http://schemas.microsoft.com/office/2011/relationships/chartStyle" Target="style5.xml" 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 /><Relationship Id="rId1" Type="http://schemas.microsoft.com/office/2011/relationships/chartStyle" Target="style6.xml" 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 /><Relationship Id="rId1" Type="http://schemas.microsoft.com/office/2011/relationships/chartStyle" Target="style7.xml" 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 /><Relationship Id="rId1" Type="http://schemas.microsoft.com/office/2011/relationships/chartStyle" Target="style8.xml" 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9.xml" /><Relationship Id="rId1" Type="http://schemas.microsoft.com/office/2011/relationships/chartStyle" Target="style9.xml" 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 /><Relationship Id="rId1" Type="http://schemas.microsoft.com/office/2011/relationships/chartStyle" Target="style10.xml" 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 /><Relationship Id="rId1" Type="http://schemas.microsoft.com/office/2011/relationships/chartStyle" Target="style11.xml" 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 /><Relationship Id="rId1" Type="http://schemas.microsoft.com/office/2011/relationships/chartStyle" Target="style12.xml" 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 /><Relationship Id="rId1" Type="http://schemas.microsoft.com/office/2011/relationships/chartStyle" Target="style13.xml" 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4.xml" /><Relationship Id="rId1" Type="http://schemas.microsoft.com/office/2011/relationships/chartStyle" Target="style14.xml" 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5.xml" /><Relationship Id="rId1" Type="http://schemas.microsoft.com/office/2011/relationships/chartStyle" Target="style15.xml" 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 /><Relationship Id="rId1" Type="http://schemas.microsoft.com/office/2011/relationships/chartStyle" Target="style2.xml" 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 /><Relationship Id="rId1" Type="http://schemas.microsoft.com/office/2011/relationships/chartStyle" Target="style3.xml" 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 /><Relationship Id="rId1" Type="http://schemas.microsoft.com/office/2011/relationships/chartStyle" Target="style4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'Avaliação Física 1'!$DV$25</c:f>
              <c:strCache>
                <c:ptCount val="1"/>
                <c:pt idx="0">
                  <c:v>Resultados</c:v>
                </c:pt>
              </c:strCache>
            </c:strRef>
          </c:tx>
          <c:dPt>
            <c:idx val="0"/>
            <c:bubble3D val="0"/>
            <c:explosion val="17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1868-4F2C-A4A5-E5094A66D476}"/>
              </c:ext>
            </c:extLst>
          </c:dPt>
          <c:dPt>
            <c:idx val="1"/>
            <c:bubble3D val="0"/>
            <c:explosion val="2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1868-4F2C-A4A5-E5094A66D476}"/>
              </c:ext>
            </c:extLst>
          </c:dPt>
          <c:dPt>
            <c:idx val="2"/>
            <c:bubble3D val="0"/>
            <c:explosion val="7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1868-4F2C-A4A5-E5094A66D47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'Avaliação Física 1'!$DT$26:$DU$28</c:f>
              <c:multiLvlStrCache>
                <c:ptCount val="3"/>
                <c:lvl/>
                <c:lvl>
                  <c:pt idx="0">
                    <c:v>Gordura atual (%)</c:v>
                  </c:pt>
                  <c:pt idx="1">
                    <c:v>Peso gordo (kg)</c:v>
                  </c:pt>
                  <c:pt idx="2">
                    <c:v>Peso magro (kg)</c:v>
                  </c:pt>
                </c:lvl>
              </c:multiLvlStrCache>
            </c:multiLvlStrRef>
          </c:cat>
          <c:val>
            <c:numRef>
              <c:f>'Avaliação Física 1'!$DV$26:$DV$28</c:f>
              <c:numCache>
                <c:formatCode>0.0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68-4F2C-A4A5-E5094A66D4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0"/>
    <c:dispBlanksAs val="zero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'Avaliação Física 1'!$EK$31:$EK$40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738-4995-A055-150F4DC8EA21}"/>
            </c:ext>
          </c:extLst>
        </c:ser>
        <c:ser>
          <c:idx val="1"/>
          <c:order val="1"/>
          <c:invertIfNegative val="0"/>
          <c:val>
            <c:numRef>
              <c:f>'Avaliação Física 1'!$EL$31:$EL$40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738-4995-A055-150F4DC8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9120"/>
        <c:axId val="22870656"/>
      </c:barChart>
      <c:catAx>
        <c:axId val="228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70656"/>
        <c:crosses val="autoZero"/>
        <c:auto val="1"/>
        <c:lblAlgn val="ctr"/>
        <c:lblOffset val="100"/>
        <c:noMultiLvlLbl val="0"/>
      </c:catAx>
      <c:valAx>
        <c:axId val="228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69120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'Avaliação Física 3'!$T$150</c:f>
              <c:strCache>
                <c:ptCount val="1"/>
                <c:pt idx="0">
                  <c:v>Fracionamento da composição corporal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AC-4BED-B901-CCE437E467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AC-4BED-B901-CCE437E467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AC-4BED-B901-CCE437E467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AC-4BED-B901-CCE437E467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'Avaliação Física 3'!$S$151:$S$154</c:f>
              <c:strCache>
                <c:ptCount val="4"/>
                <c:pt idx="0">
                  <c:v>Massa gorda</c:v>
                </c:pt>
                <c:pt idx="1">
                  <c:v>Massa muscular</c:v>
                </c:pt>
                <c:pt idx="2">
                  <c:v>Massa residual</c:v>
                </c:pt>
                <c:pt idx="3">
                  <c:v>Massa Óssea</c:v>
                </c:pt>
              </c:strCache>
            </c:strRef>
          </c:cat>
          <c:val>
            <c:numRef>
              <c:f>'Avaliação Física 3'!$T$151:$T$154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AC-4BED-B901-CCE437E467A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'Avaliação Física 3'!$T$157</c:f>
              <c:strCache>
                <c:ptCount val="1"/>
                <c:pt idx="0">
                  <c:v>Composição Corporal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'Avaliação Física 3'!$S$158:$S$160</c:f>
              <c:strCache>
                <c:ptCount val="3"/>
                <c:pt idx="0">
                  <c:v>Peso</c:v>
                </c:pt>
                <c:pt idx="1">
                  <c:v>Gordura atual (%)</c:v>
                </c:pt>
                <c:pt idx="2">
                  <c:v>Massa livre de gordura</c:v>
                </c:pt>
              </c:strCache>
            </c:strRef>
          </c:cat>
          <c:val>
            <c:numRef>
              <c:f>'Avaliação Física 3'!$T$158:$T$160</c:f>
              <c:numCache>
                <c:formatCode>0.0"%"</c:formatCode>
                <c:ptCount val="3"/>
                <c:pt idx="0" formatCode="0.0&quot;Kg&quot;">
                  <c:v>0</c:v>
                </c:pt>
                <c:pt idx="1">
                  <c:v>0</c:v>
                </c:pt>
                <c:pt idx="2" formatCode="0.0&quot;Kg&quot;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D-4BDE-A9E9-09C95086E2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9887039"/>
        <c:axId val="288418687"/>
      </c:barChart>
      <c:catAx>
        <c:axId val="113988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418687"/>
        <c:crosses val="autoZero"/>
        <c:auto val="1"/>
        <c:lblAlgn val="ctr"/>
        <c:lblOffset val="100"/>
        <c:noMultiLvlLbl val="0"/>
      </c:catAx>
      <c:valAx>
        <c:axId val="2884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88703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'Avaliação Física 4'!$DV$25</c:f>
              <c:strCache>
                <c:ptCount val="1"/>
                <c:pt idx="0">
                  <c:v>Resultados</c:v>
                </c:pt>
              </c:strCache>
            </c:strRef>
          </c:tx>
          <c:dPt>
            <c:idx val="0"/>
            <c:bubble3D val="0"/>
            <c:explosion val="17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B10D-4586-9911-D541A6EACD1B}"/>
              </c:ext>
            </c:extLst>
          </c:dPt>
          <c:dPt>
            <c:idx val="1"/>
            <c:bubble3D val="0"/>
            <c:explosion val="2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B10D-4586-9911-D541A6EACD1B}"/>
              </c:ext>
            </c:extLst>
          </c:dPt>
          <c:dPt>
            <c:idx val="2"/>
            <c:bubble3D val="0"/>
            <c:explosion val="7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B10D-4586-9911-D541A6EACD1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'Avaliação Física 4'!$DT$26:$DU$28</c:f>
              <c:multiLvlStrCache>
                <c:ptCount val="3"/>
                <c:lvl/>
                <c:lvl>
                  <c:pt idx="0">
                    <c:v>Gordura atual (%)</c:v>
                  </c:pt>
                  <c:pt idx="1">
                    <c:v>Peso gordo (kg)</c:v>
                  </c:pt>
                  <c:pt idx="2">
                    <c:v>Peso magro (kg)</c:v>
                  </c:pt>
                </c:lvl>
              </c:multiLvlStrCache>
            </c:multiLvlStrRef>
          </c:cat>
          <c:val>
            <c:numRef>
              <c:f>'Avaliação Física 4'!$DV$26:$DV$28</c:f>
              <c:numCache>
                <c:formatCode>0.0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0D-4586-9911-D541A6EACD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0"/>
    <c:dispBlanksAs val="zero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'Avaliação Física 1'!$EK$31:$EK$40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83D-4CCA-ADB4-50690D3AD802}"/>
            </c:ext>
          </c:extLst>
        </c:ser>
        <c:ser>
          <c:idx val="1"/>
          <c:order val="1"/>
          <c:invertIfNegative val="0"/>
          <c:val>
            <c:numRef>
              <c:f>'Avaliação Física 1'!$EL$31:$EL$40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83D-4CCA-ADB4-50690D3A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9120"/>
        <c:axId val="22870656"/>
      </c:barChart>
      <c:catAx>
        <c:axId val="228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70656"/>
        <c:crosses val="autoZero"/>
        <c:auto val="1"/>
        <c:lblAlgn val="ctr"/>
        <c:lblOffset val="100"/>
        <c:noMultiLvlLbl val="0"/>
      </c:catAx>
      <c:valAx>
        <c:axId val="228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69120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'Avaliação Física 4'!$T$150</c:f>
              <c:strCache>
                <c:ptCount val="1"/>
                <c:pt idx="0">
                  <c:v>Fracionamento da composição corporal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5-442A-A2B8-CC06054522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A5-442A-A2B8-CC06054522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A5-442A-A2B8-CC06054522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5-442A-A2B8-CC06054522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'Avaliação Física 4'!$S$151:$S$154</c:f>
              <c:strCache>
                <c:ptCount val="4"/>
                <c:pt idx="0">
                  <c:v>Massa gorda</c:v>
                </c:pt>
                <c:pt idx="1">
                  <c:v>Massa muscular</c:v>
                </c:pt>
                <c:pt idx="2">
                  <c:v>Massa residual</c:v>
                </c:pt>
                <c:pt idx="3">
                  <c:v>Massa Óssea</c:v>
                </c:pt>
              </c:strCache>
            </c:strRef>
          </c:cat>
          <c:val>
            <c:numRef>
              <c:f>'Avaliação Física 4'!$T$151:$T$154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A5-442A-A2B8-CC06054522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'Avaliação Física 4'!$T$157</c:f>
              <c:strCache>
                <c:ptCount val="1"/>
                <c:pt idx="0">
                  <c:v>Composição Corporal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'Avaliação Física 4'!$S$158:$S$160</c:f>
              <c:strCache>
                <c:ptCount val="3"/>
                <c:pt idx="0">
                  <c:v>Peso</c:v>
                </c:pt>
                <c:pt idx="1">
                  <c:v>Gordura atual (%)</c:v>
                </c:pt>
                <c:pt idx="2">
                  <c:v>Massa livre de gordura</c:v>
                </c:pt>
              </c:strCache>
            </c:strRef>
          </c:cat>
          <c:val>
            <c:numRef>
              <c:f>'Avaliação Física 4'!$T$158:$T$160</c:f>
              <c:numCache>
                <c:formatCode>0.0"%"</c:formatCode>
                <c:ptCount val="3"/>
                <c:pt idx="0" formatCode="0.0&quot;Kg&quot;">
                  <c:v>0</c:v>
                </c:pt>
                <c:pt idx="1">
                  <c:v>0</c:v>
                </c:pt>
                <c:pt idx="2" formatCode="0.0&quot;Kg&quot;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3-47C0-9AD7-77E3A099EA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9887039"/>
        <c:axId val="288418687"/>
      </c:barChart>
      <c:catAx>
        <c:axId val="113988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418687"/>
        <c:crosses val="autoZero"/>
        <c:auto val="1"/>
        <c:lblAlgn val="ctr"/>
        <c:lblOffset val="100"/>
        <c:noMultiLvlLbl val="0"/>
      </c:catAx>
      <c:valAx>
        <c:axId val="2884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88703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'Avaliação Física 5'!$DV$25</c:f>
              <c:strCache>
                <c:ptCount val="1"/>
                <c:pt idx="0">
                  <c:v>Resultados</c:v>
                </c:pt>
              </c:strCache>
            </c:strRef>
          </c:tx>
          <c:dPt>
            <c:idx val="0"/>
            <c:bubble3D val="0"/>
            <c:explosion val="17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C802-46C5-824D-6F933E5781FA}"/>
              </c:ext>
            </c:extLst>
          </c:dPt>
          <c:dPt>
            <c:idx val="1"/>
            <c:bubble3D val="0"/>
            <c:explosion val="2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C802-46C5-824D-6F933E5781FA}"/>
              </c:ext>
            </c:extLst>
          </c:dPt>
          <c:dPt>
            <c:idx val="2"/>
            <c:bubble3D val="0"/>
            <c:explosion val="7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C802-46C5-824D-6F933E5781F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'Avaliação Física 5'!$DT$26:$DU$28</c:f>
              <c:multiLvlStrCache>
                <c:ptCount val="3"/>
                <c:lvl/>
                <c:lvl>
                  <c:pt idx="0">
                    <c:v>Gordura atual (%)</c:v>
                  </c:pt>
                  <c:pt idx="1">
                    <c:v>Peso gordo (kg)</c:v>
                  </c:pt>
                  <c:pt idx="2">
                    <c:v>Peso magro (kg)</c:v>
                  </c:pt>
                </c:lvl>
              </c:multiLvlStrCache>
            </c:multiLvlStrRef>
          </c:cat>
          <c:val>
            <c:numRef>
              <c:f>'Avaliação Física 5'!$DV$26:$DV$28</c:f>
              <c:numCache>
                <c:formatCode>0.0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02-46C5-824D-6F933E5781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0"/>
    <c:dispBlanksAs val="zero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'Avaliação Física 1'!$EK$31:$EK$40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08B-4F67-8EF6-62C15FBEF2F0}"/>
            </c:ext>
          </c:extLst>
        </c:ser>
        <c:ser>
          <c:idx val="1"/>
          <c:order val="1"/>
          <c:invertIfNegative val="0"/>
          <c:val>
            <c:numRef>
              <c:f>'Avaliação Física 1'!$EL$31:$EL$40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08B-4F67-8EF6-62C15FBE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9120"/>
        <c:axId val="22870656"/>
      </c:barChart>
      <c:catAx>
        <c:axId val="228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70656"/>
        <c:crosses val="autoZero"/>
        <c:auto val="1"/>
        <c:lblAlgn val="ctr"/>
        <c:lblOffset val="100"/>
        <c:noMultiLvlLbl val="0"/>
      </c:catAx>
      <c:valAx>
        <c:axId val="228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69120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'Avaliação Física 5'!$T$150</c:f>
              <c:strCache>
                <c:ptCount val="1"/>
                <c:pt idx="0">
                  <c:v>Fracionamento da composição corporal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6-4F8E-B329-57959FA604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96-4F8E-B329-57959FA604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96-4F8E-B329-57959FA604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96-4F8E-B329-57959FA604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'Avaliação Física 5'!$S$151:$S$154</c:f>
              <c:strCache>
                <c:ptCount val="4"/>
                <c:pt idx="0">
                  <c:v>Massa gorda</c:v>
                </c:pt>
                <c:pt idx="1">
                  <c:v>Massa muscular</c:v>
                </c:pt>
                <c:pt idx="2">
                  <c:v>Massa residual</c:v>
                </c:pt>
                <c:pt idx="3">
                  <c:v>Massa Óssea</c:v>
                </c:pt>
              </c:strCache>
            </c:strRef>
          </c:cat>
          <c:val>
            <c:numRef>
              <c:f>'Avaliação Física 5'!$T$151:$T$154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96-4F8E-B329-57959FA6046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'Avaliação Física 1'!$EK$31:$EK$40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C77-4305-A4DA-0CF50856ADE7}"/>
            </c:ext>
          </c:extLst>
        </c:ser>
        <c:ser>
          <c:idx val="1"/>
          <c:order val="1"/>
          <c:invertIfNegative val="0"/>
          <c:val>
            <c:numRef>
              <c:f>'Avaliação Física 1'!$EL$31:$EL$40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C77-4305-A4DA-0CF50856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9120"/>
        <c:axId val="22870656"/>
      </c:barChart>
      <c:catAx>
        <c:axId val="228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70656"/>
        <c:crosses val="autoZero"/>
        <c:auto val="1"/>
        <c:lblAlgn val="ctr"/>
        <c:lblOffset val="100"/>
        <c:noMultiLvlLbl val="0"/>
      </c:catAx>
      <c:valAx>
        <c:axId val="228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69120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'Avaliação Física 5'!$T$157</c:f>
              <c:strCache>
                <c:ptCount val="1"/>
                <c:pt idx="0">
                  <c:v>Composição Corporal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'Avaliação Física 5'!$S$158:$S$160</c:f>
              <c:strCache>
                <c:ptCount val="3"/>
                <c:pt idx="0">
                  <c:v>Peso</c:v>
                </c:pt>
                <c:pt idx="1">
                  <c:v>Gordura atual (%)</c:v>
                </c:pt>
                <c:pt idx="2">
                  <c:v>Massa livre de gordura</c:v>
                </c:pt>
              </c:strCache>
            </c:strRef>
          </c:cat>
          <c:val>
            <c:numRef>
              <c:f>'Avaliação Física 5'!$T$158:$T$160</c:f>
              <c:numCache>
                <c:formatCode>0.0"%"</c:formatCode>
                <c:ptCount val="3"/>
                <c:pt idx="0" formatCode="0.0&quot;Kg&quot;">
                  <c:v>0</c:v>
                </c:pt>
                <c:pt idx="1">
                  <c:v>0</c:v>
                </c:pt>
                <c:pt idx="2" formatCode="0.0&quot;Kg&quot;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B-4775-AB52-B072979701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9887039"/>
        <c:axId val="288418687"/>
      </c:barChart>
      <c:catAx>
        <c:axId val="113988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418687"/>
        <c:crosses val="autoZero"/>
        <c:auto val="1"/>
        <c:lblAlgn val="ctr"/>
        <c:lblOffset val="100"/>
        <c:noMultiLvlLbl val="0"/>
      </c:catAx>
      <c:valAx>
        <c:axId val="2884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88703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'Avaliação Física 6'!$DV$25</c:f>
              <c:strCache>
                <c:ptCount val="1"/>
                <c:pt idx="0">
                  <c:v>Resultados</c:v>
                </c:pt>
              </c:strCache>
            </c:strRef>
          </c:tx>
          <c:dPt>
            <c:idx val="0"/>
            <c:bubble3D val="0"/>
            <c:explosion val="17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613-44C7-9FB8-92EC030D4D5D}"/>
              </c:ext>
            </c:extLst>
          </c:dPt>
          <c:dPt>
            <c:idx val="1"/>
            <c:bubble3D val="0"/>
            <c:explosion val="2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D613-44C7-9FB8-92EC030D4D5D}"/>
              </c:ext>
            </c:extLst>
          </c:dPt>
          <c:dPt>
            <c:idx val="2"/>
            <c:bubble3D val="0"/>
            <c:explosion val="7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613-44C7-9FB8-92EC030D4D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'Avaliação Física 6'!$DT$26:$DU$28</c:f>
              <c:multiLvlStrCache>
                <c:ptCount val="3"/>
                <c:lvl/>
                <c:lvl>
                  <c:pt idx="0">
                    <c:v>Gordura atual (%)</c:v>
                  </c:pt>
                  <c:pt idx="1">
                    <c:v>Peso gordo (kg)</c:v>
                  </c:pt>
                  <c:pt idx="2">
                    <c:v>Peso magro (kg)</c:v>
                  </c:pt>
                </c:lvl>
              </c:multiLvlStrCache>
            </c:multiLvlStrRef>
          </c:cat>
          <c:val>
            <c:numRef>
              <c:f>'Avaliação Física 6'!$DV$26:$DV$28</c:f>
              <c:numCache>
                <c:formatCode>0.0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13-44C7-9FB8-92EC030D4D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0"/>
    <c:dispBlanksAs val="zero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'Avaliação Física 1'!$EK$31:$EK$40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65A-49CC-B31D-11824046D3F2}"/>
            </c:ext>
          </c:extLst>
        </c:ser>
        <c:ser>
          <c:idx val="1"/>
          <c:order val="1"/>
          <c:invertIfNegative val="0"/>
          <c:val>
            <c:numRef>
              <c:f>'Avaliação Física 1'!$EL$31:$EL$40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765A-49CC-B31D-11824046D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9120"/>
        <c:axId val="22870656"/>
      </c:barChart>
      <c:catAx>
        <c:axId val="228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70656"/>
        <c:crosses val="autoZero"/>
        <c:auto val="1"/>
        <c:lblAlgn val="ctr"/>
        <c:lblOffset val="100"/>
        <c:noMultiLvlLbl val="0"/>
      </c:catAx>
      <c:valAx>
        <c:axId val="228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69120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'Avaliação Física 6'!$T$150</c:f>
              <c:strCache>
                <c:ptCount val="1"/>
                <c:pt idx="0">
                  <c:v>Fracionamento da composição corporal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F-4E70-84A7-C0E868B677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4F-4E70-84A7-C0E868B677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94F-4E70-84A7-C0E868B677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F-4E70-84A7-C0E868B677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'Avaliação Física 6'!$S$151:$S$154</c:f>
              <c:strCache>
                <c:ptCount val="4"/>
                <c:pt idx="0">
                  <c:v>Massa gorda</c:v>
                </c:pt>
                <c:pt idx="1">
                  <c:v>Massa muscular</c:v>
                </c:pt>
                <c:pt idx="2">
                  <c:v>Massa residual</c:v>
                </c:pt>
                <c:pt idx="3">
                  <c:v>Massa Óssea</c:v>
                </c:pt>
              </c:strCache>
            </c:strRef>
          </c:cat>
          <c:val>
            <c:numRef>
              <c:f>'Avaliação Física 6'!$T$151:$T$154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4F-4E70-84A7-C0E868B6776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'Avaliação Física 6'!$T$157</c:f>
              <c:strCache>
                <c:ptCount val="1"/>
                <c:pt idx="0">
                  <c:v>Composição Corporal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'Avaliação Física 6'!$S$158:$S$160</c:f>
              <c:strCache>
                <c:ptCount val="3"/>
                <c:pt idx="0">
                  <c:v>Peso</c:v>
                </c:pt>
                <c:pt idx="1">
                  <c:v>Gordura atual (%)</c:v>
                </c:pt>
                <c:pt idx="2">
                  <c:v>Massa livre de gordura</c:v>
                </c:pt>
              </c:strCache>
            </c:strRef>
          </c:cat>
          <c:val>
            <c:numRef>
              <c:f>'Avaliação Física 6'!$T$158:$T$160</c:f>
              <c:numCache>
                <c:formatCode>0.0"%"</c:formatCode>
                <c:ptCount val="3"/>
                <c:pt idx="0" formatCode="0.0&quot;Kg&quot;">
                  <c:v>0</c:v>
                </c:pt>
                <c:pt idx="1">
                  <c:v>0</c:v>
                </c:pt>
                <c:pt idx="2" formatCode="0.0&quot;Kg&quot;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3-4505-BDFE-746195446E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9887039"/>
        <c:axId val="288418687"/>
      </c:barChart>
      <c:catAx>
        <c:axId val="113988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418687"/>
        <c:crosses val="autoZero"/>
        <c:auto val="1"/>
        <c:lblAlgn val="ctr"/>
        <c:lblOffset val="100"/>
        <c:noMultiLvlLbl val="0"/>
      </c:catAx>
      <c:valAx>
        <c:axId val="2884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88703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Composição corporal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Gráficos!$O$23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Gráficos!$M$24:$N$31</c:f>
              <c:multiLvlStrCache>
                <c:ptCount val="8"/>
                <c:lvl/>
                <c:lvl>
                  <c:pt idx="0">
                    <c:v>Peso atual (kg):</c:v>
                  </c:pt>
                  <c:pt idx="1">
                    <c:v>Gordura atual (%)</c:v>
                  </c:pt>
                  <c:pt idx="2">
                    <c:v>Massa gorda</c:v>
                  </c:pt>
                  <c:pt idx="3">
                    <c:v>Massa livre de gordura</c:v>
                  </c:pt>
                  <c:pt idx="4">
                    <c:v>Massa muscular</c:v>
                  </c:pt>
                  <c:pt idx="5">
                    <c:v>Massa residual</c:v>
                  </c:pt>
                  <c:pt idx="6">
                    <c:v>Massa óssea</c:v>
                  </c:pt>
                  <c:pt idx="7">
                    <c:v>IMC</c:v>
                  </c:pt>
                </c:lvl>
              </c:multiLvlStrCache>
            </c:multiLvlStrRef>
          </c:cat>
          <c:val>
            <c:numRef>
              <c:f>Gráficos!$O$24:$O$31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7-4399-8FB7-2D74D90F20AE}"/>
            </c:ext>
          </c:extLst>
        </c:ser>
        <c:ser>
          <c:idx val="1"/>
          <c:order val="1"/>
          <c:tx>
            <c:strRef>
              <c:f>Gráficos!$P$23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Gráficos!$M$24:$N$31</c:f>
              <c:multiLvlStrCache>
                <c:ptCount val="8"/>
                <c:lvl/>
                <c:lvl>
                  <c:pt idx="0">
                    <c:v>Peso atual (kg):</c:v>
                  </c:pt>
                  <c:pt idx="1">
                    <c:v>Gordura atual (%)</c:v>
                  </c:pt>
                  <c:pt idx="2">
                    <c:v>Massa gorda</c:v>
                  </c:pt>
                  <c:pt idx="3">
                    <c:v>Massa livre de gordura</c:v>
                  </c:pt>
                  <c:pt idx="4">
                    <c:v>Massa muscular</c:v>
                  </c:pt>
                  <c:pt idx="5">
                    <c:v>Massa residual</c:v>
                  </c:pt>
                  <c:pt idx="6">
                    <c:v>Massa óssea</c:v>
                  </c:pt>
                  <c:pt idx="7">
                    <c:v>IMC</c:v>
                  </c:pt>
                </c:lvl>
              </c:multiLvlStrCache>
            </c:multiLvlStrRef>
          </c:cat>
          <c:val>
            <c:numRef>
              <c:f>Gráficos!$P$24:$P$31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7-4399-8FB7-2D74D90F20AE}"/>
            </c:ext>
          </c:extLst>
        </c:ser>
        <c:ser>
          <c:idx val="2"/>
          <c:order val="2"/>
          <c:tx>
            <c:strRef>
              <c:f>Gráficos!$Q$23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Gráficos!$M$24:$N$31</c:f>
              <c:multiLvlStrCache>
                <c:ptCount val="8"/>
                <c:lvl/>
                <c:lvl>
                  <c:pt idx="0">
                    <c:v>Peso atual (kg):</c:v>
                  </c:pt>
                  <c:pt idx="1">
                    <c:v>Gordura atual (%)</c:v>
                  </c:pt>
                  <c:pt idx="2">
                    <c:v>Massa gorda</c:v>
                  </c:pt>
                  <c:pt idx="3">
                    <c:v>Massa livre de gordura</c:v>
                  </c:pt>
                  <c:pt idx="4">
                    <c:v>Massa muscular</c:v>
                  </c:pt>
                  <c:pt idx="5">
                    <c:v>Massa residual</c:v>
                  </c:pt>
                  <c:pt idx="6">
                    <c:v>Massa óssea</c:v>
                  </c:pt>
                  <c:pt idx="7">
                    <c:v>IMC</c:v>
                  </c:pt>
                </c:lvl>
              </c:multiLvlStrCache>
            </c:multiLvlStrRef>
          </c:cat>
          <c:val>
            <c:numRef>
              <c:f>Gráficos!$Q$24:$Q$31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A7-4399-8FB7-2D74D90F20AE}"/>
            </c:ext>
          </c:extLst>
        </c:ser>
        <c:ser>
          <c:idx val="3"/>
          <c:order val="3"/>
          <c:tx>
            <c:strRef>
              <c:f>Gráficos!$R$23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Gráficos!$M$24:$N$31</c:f>
              <c:multiLvlStrCache>
                <c:ptCount val="8"/>
                <c:lvl/>
                <c:lvl>
                  <c:pt idx="0">
                    <c:v>Peso atual (kg):</c:v>
                  </c:pt>
                  <c:pt idx="1">
                    <c:v>Gordura atual (%)</c:v>
                  </c:pt>
                  <c:pt idx="2">
                    <c:v>Massa gorda</c:v>
                  </c:pt>
                  <c:pt idx="3">
                    <c:v>Massa livre de gordura</c:v>
                  </c:pt>
                  <c:pt idx="4">
                    <c:v>Massa muscular</c:v>
                  </c:pt>
                  <c:pt idx="5">
                    <c:v>Massa residual</c:v>
                  </c:pt>
                  <c:pt idx="6">
                    <c:v>Massa óssea</c:v>
                  </c:pt>
                  <c:pt idx="7">
                    <c:v>IMC</c:v>
                  </c:pt>
                </c:lvl>
              </c:multiLvlStrCache>
            </c:multiLvlStrRef>
          </c:cat>
          <c:val>
            <c:numRef>
              <c:f>Gráficos!$R$24:$R$31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A7-4399-8FB7-2D74D90F20AE}"/>
            </c:ext>
          </c:extLst>
        </c:ser>
        <c:ser>
          <c:idx val="4"/>
          <c:order val="4"/>
          <c:tx>
            <c:strRef>
              <c:f>Gráficos!$S$23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Gráficos!$M$24:$N$31</c:f>
              <c:multiLvlStrCache>
                <c:ptCount val="8"/>
                <c:lvl/>
                <c:lvl>
                  <c:pt idx="0">
                    <c:v>Peso atual (kg):</c:v>
                  </c:pt>
                  <c:pt idx="1">
                    <c:v>Gordura atual (%)</c:v>
                  </c:pt>
                  <c:pt idx="2">
                    <c:v>Massa gorda</c:v>
                  </c:pt>
                  <c:pt idx="3">
                    <c:v>Massa livre de gordura</c:v>
                  </c:pt>
                  <c:pt idx="4">
                    <c:v>Massa muscular</c:v>
                  </c:pt>
                  <c:pt idx="5">
                    <c:v>Massa residual</c:v>
                  </c:pt>
                  <c:pt idx="6">
                    <c:v>Massa óssea</c:v>
                  </c:pt>
                  <c:pt idx="7">
                    <c:v>IMC</c:v>
                  </c:pt>
                </c:lvl>
              </c:multiLvlStrCache>
            </c:multiLvlStrRef>
          </c:cat>
          <c:val>
            <c:numRef>
              <c:f>Gráficos!$S$24:$S$31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A7-4399-8FB7-2D74D90F20AE}"/>
            </c:ext>
          </c:extLst>
        </c:ser>
        <c:ser>
          <c:idx val="5"/>
          <c:order val="5"/>
          <c:tx>
            <c:strRef>
              <c:f>Gráficos!$T$23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Gráficos!$M$24:$N$31</c:f>
              <c:multiLvlStrCache>
                <c:ptCount val="8"/>
                <c:lvl/>
                <c:lvl>
                  <c:pt idx="0">
                    <c:v>Peso atual (kg):</c:v>
                  </c:pt>
                  <c:pt idx="1">
                    <c:v>Gordura atual (%)</c:v>
                  </c:pt>
                  <c:pt idx="2">
                    <c:v>Massa gorda</c:v>
                  </c:pt>
                  <c:pt idx="3">
                    <c:v>Massa livre de gordura</c:v>
                  </c:pt>
                  <c:pt idx="4">
                    <c:v>Massa muscular</c:v>
                  </c:pt>
                  <c:pt idx="5">
                    <c:v>Massa residual</c:v>
                  </c:pt>
                  <c:pt idx="6">
                    <c:v>Massa óssea</c:v>
                  </c:pt>
                  <c:pt idx="7">
                    <c:v>IMC</c:v>
                  </c:pt>
                </c:lvl>
              </c:multiLvlStrCache>
            </c:multiLvlStrRef>
          </c:cat>
          <c:val>
            <c:numRef>
              <c:f>Gráficos!$T$24:$T$31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A7-4399-8FB7-2D74D90F2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90977504"/>
        <c:axId val="690992264"/>
      </c:barChart>
      <c:catAx>
        <c:axId val="6909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0992264"/>
        <c:crosses val="autoZero"/>
        <c:auto val="1"/>
        <c:lblAlgn val="ctr"/>
        <c:lblOffset val="100"/>
        <c:noMultiLvlLbl val="0"/>
      </c:catAx>
      <c:valAx>
        <c:axId val="69099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097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Dobras Cutâneas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Gráficos!$O$11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Gráficos!$M$12:$N$20</c:f>
              <c:multiLvlStrCache>
                <c:ptCount val="9"/>
                <c:lvl/>
                <c:lvl>
                  <c:pt idx="0">
                    <c:v>Subscapular:</c:v>
                  </c:pt>
                  <c:pt idx="1">
                    <c:v>Tricipital:</c:v>
                  </c:pt>
                  <c:pt idx="2">
                    <c:v>Bicipital</c:v>
                  </c:pt>
                  <c:pt idx="3">
                    <c:v>Peitoral:</c:v>
                  </c:pt>
                  <c:pt idx="4">
                    <c:v>Axilar-média:</c:v>
                  </c:pt>
                  <c:pt idx="5">
                    <c:v>Supra-ilíaca:</c:v>
                  </c:pt>
                  <c:pt idx="6">
                    <c:v>Abdominal:</c:v>
                  </c:pt>
                  <c:pt idx="7">
                    <c:v>Coxa:</c:v>
                  </c:pt>
                  <c:pt idx="8">
                    <c:v>Panturrilha</c:v>
                  </c:pt>
                </c:lvl>
              </c:multiLvlStrCache>
            </c:multiLvlStrRef>
          </c:cat>
          <c:val>
            <c:numRef>
              <c:f>Gráficos!$O$12:$O$20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9-45FC-892F-585859F7AA07}"/>
            </c:ext>
          </c:extLst>
        </c:ser>
        <c:ser>
          <c:idx val="1"/>
          <c:order val="1"/>
          <c:tx>
            <c:strRef>
              <c:f>Gráficos!$P$11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Gráficos!$M$12:$N$20</c:f>
              <c:multiLvlStrCache>
                <c:ptCount val="9"/>
                <c:lvl/>
                <c:lvl>
                  <c:pt idx="0">
                    <c:v>Subscapular:</c:v>
                  </c:pt>
                  <c:pt idx="1">
                    <c:v>Tricipital:</c:v>
                  </c:pt>
                  <c:pt idx="2">
                    <c:v>Bicipital</c:v>
                  </c:pt>
                  <c:pt idx="3">
                    <c:v>Peitoral:</c:v>
                  </c:pt>
                  <c:pt idx="4">
                    <c:v>Axilar-média:</c:v>
                  </c:pt>
                  <c:pt idx="5">
                    <c:v>Supra-ilíaca:</c:v>
                  </c:pt>
                  <c:pt idx="6">
                    <c:v>Abdominal:</c:v>
                  </c:pt>
                  <c:pt idx="7">
                    <c:v>Coxa:</c:v>
                  </c:pt>
                  <c:pt idx="8">
                    <c:v>Panturrilha</c:v>
                  </c:pt>
                </c:lvl>
              </c:multiLvlStrCache>
            </c:multiLvlStrRef>
          </c:cat>
          <c:val>
            <c:numRef>
              <c:f>Gráficos!$P$12:$P$20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9-45FC-892F-585859F7AA07}"/>
            </c:ext>
          </c:extLst>
        </c:ser>
        <c:ser>
          <c:idx val="2"/>
          <c:order val="2"/>
          <c:tx>
            <c:strRef>
              <c:f>Gráficos!$Q$11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Gráficos!$M$12:$N$20</c:f>
              <c:multiLvlStrCache>
                <c:ptCount val="9"/>
                <c:lvl/>
                <c:lvl>
                  <c:pt idx="0">
                    <c:v>Subscapular:</c:v>
                  </c:pt>
                  <c:pt idx="1">
                    <c:v>Tricipital:</c:v>
                  </c:pt>
                  <c:pt idx="2">
                    <c:v>Bicipital</c:v>
                  </c:pt>
                  <c:pt idx="3">
                    <c:v>Peitoral:</c:v>
                  </c:pt>
                  <c:pt idx="4">
                    <c:v>Axilar-média:</c:v>
                  </c:pt>
                  <c:pt idx="5">
                    <c:v>Supra-ilíaca:</c:v>
                  </c:pt>
                  <c:pt idx="6">
                    <c:v>Abdominal:</c:v>
                  </c:pt>
                  <c:pt idx="7">
                    <c:v>Coxa:</c:v>
                  </c:pt>
                  <c:pt idx="8">
                    <c:v>Panturrilha</c:v>
                  </c:pt>
                </c:lvl>
              </c:multiLvlStrCache>
            </c:multiLvlStrRef>
          </c:cat>
          <c:val>
            <c:numRef>
              <c:f>Gráficos!$Q$12:$Q$20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9-45FC-892F-585859F7AA07}"/>
            </c:ext>
          </c:extLst>
        </c:ser>
        <c:ser>
          <c:idx val="3"/>
          <c:order val="3"/>
          <c:tx>
            <c:strRef>
              <c:f>Gráficos!$R$11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Gráficos!$M$12:$N$20</c:f>
              <c:multiLvlStrCache>
                <c:ptCount val="9"/>
                <c:lvl/>
                <c:lvl>
                  <c:pt idx="0">
                    <c:v>Subscapular:</c:v>
                  </c:pt>
                  <c:pt idx="1">
                    <c:v>Tricipital:</c:v>
                  </c:pt>
                  <c:pt idx="2">
                    <c:v>Bicipital</c:v>
                  </c:pt>
                  <c:pt idx="3">
                    <c:v>Peitoral:</c:v>
                  </c:pt>
                  <c:pt idx="4">
                    <c:v>Axilar-média:</c:v>
                  </c:pt>
                  <c:pt idx="5">
                    <c:v>Supra-ilíaca:</c:v>
                  </c:pt>
                  <c:pt idx="6">
                    <c:v>Abdominal:</c:v>
                  </c:pt>
                  <c:pt idx="7">
                    <c:v>Coxa:</c:v>
                  </c:pt>
                  <c:pt idx="8">
                    <c:v>Panturrilha</c:v>
                  </c:pt>
                </c:lvl>
              </c:multiLvlStrCache>
            </c:multiLvlStrRef>
          </c:cat>
          <c:val>
            <c:numRef>
              <c:f>Gráficos!$R$12:$R$20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29-45FC-892F-585859F7AA07}"/>
            </c:ext>
          </c:extLst>
        </c:ser>
        <c:ser>
          <c:idx val="4"/>
          <c:order val="4"/>
          <c:tx>
            <c:strRef>
              <c:f>Gráficos!$S$11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Gráficos!$M$12:$N$20</c:f>
              <c:multiLvlStrCache>
                <c:ptCount val="9"/>
                <c:lvl/>
                <c:lvl>
                  <c:pt idx="0">
                    <c:v>Subscapular:</c:v>
                  </c:pt>
                  <c:pt idx="1">
                    <c:v>Tricipital:</c:v>
                  </c:pt>
                  <c:pt idx="2">
                    <c:v>Bicipital</c:v>
                  </c:pt>
                  <c:pt idx="3">
                    <c:v>Peitoral:</c:v>
                  </c:pt>
                  <c:pt idx="4">
                    <c:v>Axilar-média:</c:v>
                  </c:pt>
                  <c:pt idx="5">
                    <c:v>Supra-ilíaca:</c:v>
                  </c:pt>
                  <c:pt idx="6">
                    <c:v>Abdominal:</c:v>
                  </c:pt>
                  <c:pt idx="7">
                    <c:v>Coxa:</c:v>
                  </c:pt>
                  <c:pt idx="8">
                    <c:v>Panturrilha</c:v>
                  </c:pt>
                </c:lvl>
              </c:multiLvlStrCache>
            </c:multiLvlStrRef>
          </c:cat>
          <c:val>
            <c:numRef>
              <c:f>Gráficos!$S$12:$S$20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29-45FC-892F-585859F7AA07}"/>
            </c:ext>
          </c:extLst>
        </c:ser>
        <c:ser>
          <c:idx val="5"/>
          <c:order val="5"/>
          <c:tx>
            <c:strRef>
              <c:f>Gráficos!$T$11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Gráficos!$M$12:$N$20</c:f>
              <c:multiLvlStrCache>
                <c:ptCount val="9"/>
                <c:lvl/>
                <c:lvl>
                  <c:pt idx="0">
                    <c:v>Subscapular:</c:v>
                  </c:pt>
                  <c:pt idx="1">
                    <c:v>Tricipital:</c:v>
                  </c:pt>
                  <c:pt idx="2">
                    <c:v>Bicipital</c:v>
                  </c:pt>
                  <c:pt idx="3">
                    <c:v>Peitoral:</c:v>
                  </c:pt>
                  <c:pt idx="4">
                    <c:v>Axilar-média:</c:v>
                  </c:pt>
                  <c:pt idx="5">
                    <c:v>Supra-ilíaca:</c:v>
                  </c:pt>
                  <c:pt idx="6">
                    <c:v>Abdominal:</c:v>
                  </c:pt>
                  <c:pt idx="7">
                    <c:v>Coxa:</c:v>
                  </c:pt>
                  <c:pt idx="8">
                    <c:v>Panturrilha</c:v>
                  </c:pt>
                </c:lvl>
              </c:multiLvlStrCache>
            </c:multiLvlStrRef>
          </c:cat>
          <c:val>
            <c:numRef>
              <c:f>Gráficos!$T$12:$T$20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9-45FC-892F-585859F7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90997184"/>
        <c:axId val="691000792"/>
      </c:barChart>
      <c:catAx>
        <c:axId val="6909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1000792"/>
        <c:crosses val="autoZero"/>
        <c:auto val="1"/>
        <c:lblAlgn val="ctr"/>
        <c:lblOffset val="100"/>
        <c:noMultiLvlLbl val="0"/>
      </c:catAx>
      <c:valAx>
        <c:axId val="691000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099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Perímetros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Gráficos!$O$34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Gráficos!$M$35:$N$47</c:f>
              <c:multiLvlStrCache>
                <c:ptCount val="13"/>
                <c:lvl/>
                <c:lvl>
                  <c:pt idx="0">
                    <c:v>Ombro</c:v>
                  </c:pt>
                  <c:pt idx="1">
                    <c:v>Toráx</c:v>
                  </c:pt>
                  <c:pt idx="2">
                    <c:v>Cintura</c:v>
                  </c:pt>
                  <c:pt idx="3">
                    <c:v>Abdômen</c:v>
                  </c:pt>
                  <c:pt idx="4">
                    <c:v>Quadril</c:v>
                  </c:pt>
                  <c:pt idx="5">
                    <c:v>Braço (d)</c:v>
                  </c:pt>
                  <c:pt idx="6">
                    <c:v>Braço (e)</c:v>
                  </c:pt>
                  <c:pt idx="7">
                    <c:v>Antebraço (d)</c:v>
                  </c:pt>
                  <c:pt idx="8">
                    <c:v>Antebraço (e)</c:v>
                  </c:pt>
                  <c:pt idx="9">
                    <c:v>Coxa (d)</c:v>
                  </c:pt>
                  <c:pt idx="10">
                    <c:v>Coxa (e)</c:v>
                  </c:pt>
                  <c:pt idx="11">
                    <c:v>Panturrilha (d)</c:v>
                  </c:pt>
                  <c:pt idx="12">
                    <c:v>Panturrilha (e)</c:v>
                  </c:pt>
                </c:lvl>
              </c:multiLvlStrCache>
            </c:multiLvlStrRef>
          </c:cat>
          <c:val>
            <c:numRef>
              <c:f>Gráficos!$O$35:$O$47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4-4DDD-9019-BB9EF0EB6394}"/>
            </c:ext>
          </c:extLst>
        </c:ser>
        <c:ser>
          <c:idx val="1"/>
          <c:order val="1"/>
          <c:tx>
            <c:strRef>
              <c:f>Gráficos!$P$34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Gráficos!$M$35:$N$47</c:f>
              <c:multiLvlStrCache>
                <c:ptCount val="13"/>
                <c:lvl/>
                <c:lvl>
                  <c:pt idx="0">
                    <c:v>Ombro</c:v>
                  </c:pt>
                  <c:pt idx="1">
                    <c:v>Toráx</c:v>
                  </c:pt>
                  <c:pt idx="2">
                    <c:v>Cintura</c:v>
                  </c:pt>
                  <c:pt idx="3">
                    <c:v>Abdômen</c:v>
                  </c:pt>
                  <c:pt idx="4">
                    <c:v>Quadril</c:v>
                  </c:pt>
                  <c:pt idx="5">
                    <c:v>Braço (d)</c:v>
                  </c:pt>
                  <c:pt idx="6">
                    <c:v>Braço (e)</c:v>
                  </c:pt>
                  <c:pt idx="7">
                    <c:v>Antebraço (d)</c:v>
                  </c:pt>
                  <c:pt idx="8">
                    <c:v>Antebraço (e)</c:v>
                  </c:pt>
                  <c:pt idx="9">
                    <c:v>Coxa (d)</c:v>
                  </c:pt>
                  <c:pt idx="10">
                    <c:v>Coxa (e)</c:v>
                  </c:pt>
                  <c:pt idx="11">
                    <c:v>Panturrilha (d)</c:v>
                  </c:pt>
                  <c:pt idx="12">
                    <c:v>Panturrilha (e)</c:v>
                  </c:pt>
                </c:lvl>
              </c:multiLvlStrCache>
            </c:multiLvlStrRef>
          </c:cat>
          <c:val>
            <c:numRef>
              <c:f>Gráficos!$P$35:$P$47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4-4DDD-9019-BB9EF0EB6394}"/>
            </c:ext>
          </c:extLst>
        </c:ser>
        <c:ser>
          <c:idx val="2"/>
          <c:order val="2"/>
          <c:tx>
            <c:strRef>
              <c:f>Gráficos!$Q$34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Gráficos!$M$35:$N$47</c:f>
              <c:multiLvlStrCache>
                <c:ptCount val="13"/>
                <c:lvl/>
                <c:lvl>
                  <c:pt idx="0">
                    <c:v>Ombro</c:v>
                  </c:pt>
                  <c:pt idx="1">
                    <c:v>Toráx</c:v>
                  </c:pt>
                  <c:pt idx="2">
                    <c:v>Cintura</c:v>
                  </c:pt>
                  <c:pt idx="3">
                    <c:v>Abdômen</c:v>
                  </c:pt>
                  <c:pt idx="4">
                    <c:v>Quadril</c:v>
                  </c:pt>
                  <c:pt idx="5">
                    <c:v>Braço (d)</c:v>
                  </c:pt>
                  <c:pt idx="6">
                    <c:v>Braço (e)</c:v>
                  </c:pt>
                  <c:pt idx="7">
                    <c:v>Antebraço (d)</c:v>
                  </c:pt>
                  <c:pt idx="8">
                    <c:v>Antebraço (e)</c:v>
                  </c:pt>
                  <c:pt idx="9">
                    <c:v>Coxa (d)</c:v>
                  </c:pt>
                  <c:pt idx="10">
                    <c:v>Coxa (e)</c:v>
                  </c:pt>
                  <c:pt idx="11">
                    <c:v>Panturrilha (d)</c:v>
                  </c:pt>
                  <c:pt idx="12">
                    <c:v>Panturrilha (e)</c:v>
                  </c:pt>
                </c:lvl>
              </c:multiLvlStrCache>
            </c:multiLvlStrRef>
          </c:cat>
          <c:val>
            <c:numRef>
              <c:f>Gráficos!$Q$35:$Q$47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4-4DDD-9019-BB9EF0EB6394}"/>
            </c:ext>
          </c:extLst>
        </c:ser>
        <c:ser>
          <c:idx val="3"/>
          <c:order val="3"/>
          <c:tx>
            <c:strRef>
              <c:f>Gráficos!$R$34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Gráficos!$M$35:$N$47</c:f>
              <c:multiLvlStrCache>
                <c:ptCount val="13"/>
                <c:lvl/>
                <c:lvl>
                  <c:pt idx="0">
                    <c:v>Ombro</c:v>
                  </c:pt>
                  <c:pt idx="1">
                    <c:v>Toráx</c:v>
                  </c:pt>
                  <c:pt idx="2">
                    <c:v>Cintura</c:v>
                  </c:pt>
                  <c:pt idx="3">
                    <c:v>Abdômen</c:v>
                  </c:pt>
                  <c:pt idx="4">
                    <c:v>Quadril</c:v>
                  </c:pt>
                  <c:pt idx="5">
                    <c:v>Braço (d)</c:v>
                  </c:pt>
                  <c:pt idx="6">
                    <c:v>Braço (e)</c:v>
                  </c:pt>
                  <c:pt idx="7">
                    <c:v>Antebraço (d)</c:v>
                  </c:pt>
                  <c:pt idx="8">
                    <c:v>Antebraço (e)</c:v>
                  </c:pt>
                  <c:pt idx="9">
                    <c:v>Coxa (d)</c:v>
                  </c:pt>
                  <c:pt idx="10">
                    <c:v>Coxa (e)</c:v>
                  </c:pt>
                  <c:pt idx="11">
                    <c:v>Panturrilha (d)</c:v>
                  </c:pt>
                  <c:pt idx="12">
                    <c:v>Panturrilha (e)</c:v>
                  </c:pt>
                </c:lvl>
              </c:multiLvlStrCache>
            </c:multiLvlStrRef>
          </c:cat>
          <c:val>
            <c:numRef>
              <c:f>Gráficos!$R$35:$R$47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4-4DDD-9019-BB9EF0EB6394}"/>
            </c:ext>
          </c:extLst>
        </c:ser>
        <c:ser>
          <c:idx val="4"/>
          <c:order val="4"/>
          <c:tx>
            <c:strRef>
              <c:f>Gráficos!$S$34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Gráficos!$M$35:$N$47</c:f>
              <c:multiLvlStrCache>
                <c:ptCount val="13"/>
                <c:lvl/>
                <c:lvl>
                  <c:pt idx="0">
                    <c:v>Ombro</c:v>
                  </c:pt>
                  <c:pt idx="1">
                    <c:v>Toráx</c:v>
                  </c:pt>
                  <c:pt idx="2">
                    <c:v>Cintura</c:v>
                  </c:pt>
                  <c:pt idx="3">
                    <c:v>Abdômen</c:v>
                  </c:pt>
                  <c:pt idx="4">
                    <c:v>Quadril</c:v>
                  </c:pt>
                  <c:pt idx="5">
                    <c:v>Braço (d)</c:v>
                  </c:pt>
                  <c:pt idx="6">
                    <c:v>Braço (e)</c:v>
                  </c:pt>
                  <c:pt idx="7">
                    <c:v>Antebraço (d)</c:v>
                  </c:pt>
                  <c:pt idx="8">
                    <c:v>Antebraço (e)</c:v>
                  </c:pt>
                  <c:pt idx="9">
                    <c:v>Coxa (d)</c:v>
                  </c:pt>
                  <c:pt idx="10">
                    <c:v>Coxa (e)</c:v>
                  </c:pt>
                  <c:pt idx="11">
                    <c:v>Panturrilha (d)</c:v>
                  </c:pt>
                  <c:pt idx="12">
                    <c:v>Panturrilha (e)</c:v>
                  </c:pt>
                </c:lvl>
              </c:multiLvlStrCache>
            </c:multiLvlStrRef>
          </c:cat>
          <c:val>
            <c:numRef>
              <c:f>Gráficos!$S$35:$S$47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4-4DDD-9019-BB9EF0EB6394}"/>
            </c:ext>
          </c:extLst>
        </c:ser>
        <c:ser>
          <c:idx val="5"/>
          <c:order val="5"/>
          <c:tx>
            <c:strRef>
              <c:f>Gráficos!$T$34</c:f>
              <c:strCache>
                <c:ptCount val="1"/>
                <c:pt idx="0">
                  <c:v>-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Gráficos!$M$35:$N$47</c:f>
              <c:multiLvlStrCache>
                <c:ptCount val="13"/>
                <c:lvl/>
                <c:lvl>
                  <c:pt idx="0">
                    <c:v>Ombro</c:v>
                  </c:pt>
                  <c:pt idx="1">
                    <c:v>Toráx</c:v>
                  </c:pt>
                  <c:pt idx="2">
                    <c:v>Cintura</c:v>
                  </c:pt>
                  <c:pt idx="3">
                    <c:v>Abdômen</c:v>
                  </c:pt>
                  <c:pt idx="4">
                    <c:v>Quadril</c:v>
                  </c:pt>
                  <c:pt idx="5">
                    <c:v>Braço (d)</c:v>
                  </c:pt>
                  <c:pt idx="6">
                    <c:v>Braço (e)</c:v>
                  </c:pt>
                  <c:pt idx="7">
                    <c:v>Antebraço (d)</c:v>
                  </c:pt>
                  <c:pt idx="8">
                    <c:v>Antebraço (e)</c:v>
                  </c:pt>
                  <c:pt idx="9">
                    <c:v>Coxa (d)</c:v>
                  </c:pt>
                  <c:pt idx="10">
                    <c:v>Coxa (e)</c:v>
                  </c:pt>
                  <c:pt idx="11">
                    <c:v>Panturrilha (d)</c:v>
                  </c:pt>
                  <c:pt idx="12">
                    <c:v>Panturrilha (e)</c:v>
                  </c:pt>
                </c:lvl>
              </c:multiLvlStrCache>
            </c:multiLvlStrRef>
          </c:cat>
          <c:val>
            <c:numRef>
              <c:f>Gráficos!$T$35:$T$47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54-4DDD-9019-BB9EF0EB6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08876688"/>
        <c:axId val="708875704"/>
      </c:barChart>
      <c:catAx>
        <c:axId val="70887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08875704"/>
        <c:crosses val="autoZero"/>
        <c:auto val="1"/>
        <c:lblAlgn val="ctr"/>
        <c:lblOffset val="100"/>
        <c:noMultiLvlLbl val="0"/>
      </c:catAx>
      <c:valAx>
        <c:axId val="70887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0887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'Avaliação Física 1'!$T$150</c:f>
              <c:strCache>
                <c:ptCount val="1"/>
                <c:pt idx="0">
                  <c:v>Fracionamento da composição corporal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0C-4A95-8EB0-4367473202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0C-4A95-8EB0-4367473202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D0C-4A95-8EB0-4367473202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C-4A95-8EB0-4367473202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'Avaliação Física 1'!$S$151:$S$154</c:f>
              <c:strCache>
                <c:ptCount val="4"/>
                <c:pt idx="0">
                  <c:v>Massa gorda</c:v>
                </c:pt>
                <c:pt idx="1">
                  <c:v>Massa muscular</c:v>
                </c:pt>
                <c:pt idx="2">
                  <c:v>Massa residual</c:v>
                </c:pt>
                <c:pt idx="3">
                  <c:v>Massa Óssea</c:v>
                </c:pt>
              </c:strCache>
            </c:strRef>
          </c:cat>
          <c:val>
            <c:numRef>
              <c:f>'Avaliação Física 1'!$T$151:$T$154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25F-8919-8C444E75AFA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'Avaliação Física 1'!$T$157</c:f>
              <c:strCache>
                <c:ptCount val="1"/>
                <c:pt idx="0">
                  <c:v>Composição Corporal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'Avaliação Física 1'!$S$158:$S$160</c:f>
              <c:strCache>
                <c:ptCount val="3"/>
                <c:pt idx="0">
                  <c:v>Peso</c:v>
                </c:pt>
                <c:pt idx="1">
                  <c:v>Gordura atual (%)</c:v>
                </c:pt>
                <c:pt idx="2">
                  <c:v>Massa livre de gordura</c:v>
                </c:pt>
              </c:strCache>
            </c:strRef>
          </c:cat>
          <c:val>
            <c:numRef>
              <c:f>'Avaliação Física 1'!$T$158:$T$160</c:f>
              <c:numCache>
                <c:formatCode>0.0"%"</c:formatCode>
                <c:ptCount val="3"/>
                <c:pt idx="0" formatCode="0.0&quot;Kg&quot;">
                  <c:v>0</c:v>
                </c:pt>
                <c:pt idx="1">
                  <c:v>0</c:v>
                </c:pt>
                <c:pt idx="2" formatCode="0.0&quot;Kg&quot;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2-474D-8050-70BC92671C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9887039"/>
        <c:axId val="288418687"/>
      </c:barChart>
      <c:catAx>
        <c:axId val="113988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418687"/>
        <c:crosses val="autoZero"/>
        <c:auto val="1"/>
        <c:lblAlgn val="ctr"/>
        <c:lblOffset val="100"/>
        <c:noMultiLvlLbl val="0"/>
      </c:catAx>
      <c:valAx>
        <c:axId val="2884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88703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'Avaliação Física 2'!$DV$25</c:f>
              <c:strCache>
                <c:ptCount val="1"/>
                <c:pt idx="0">
                  <c:v>Resultados</c:v>
                </c:pt>
              </c:strCache>
            </c:strRef>
          </c:tx>
          <c:dPt>
            <c:idx val="0"/>
            <c:bubble3D val="0"/>
            <c:explosion val="17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7050-44AB-B88C-DCB5F88819D1}"/>
              </c:ext>
            </c:extLst>
          </c:dPt>
          <c:dPt>
            <c:idx val="1"/>
            <c:bubble3D val="0"/>
            <c:explosion val="2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7050-44AB-B88C-DCB5F88819D1}"/>
              </c:ext>
            </c:extLst>
          </c:dPt>
          <c:dPt>
            <c:idx val="2"/>
            <c:bubble3D val="0"/>
            <c:explosion val="7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7050-44AB-B88C-DCB5F88819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'Avaliação Física 2'!$DT$26:$DU$28</c:f>
              <c:multiLvlStrCache>
                <c:ptCount val="3"/>
                <c:lvl/>
                <c:lvl>
                  <c:pt idx="0">
                    <c:v>Gordura atual (%)</c:v>
                  </c:pt>
                  <c:pt idx="1">
                    <c:v>Peso gordo (kg)</c:v>
                  </c:pt>
                  <c:pt idx="2">
                    <c:v>Peso magro (kg)</c:v>
                  </c:pt>
                </c:lvl>
              </c:multiLvlStrCache>
            </c:multiLvlStrRef>
          </c:cat>
          <c:val>
            <c:numRef>
              <c:f>'Avaliação Física 2'!$DV$26:$DV$28</c:f>
              <c:numCache>
                <c:formatCode>0.0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50-44AB-B88C-DCB5F88819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0"/>
    <c:dispBlanksAs val="zero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'Avaliação Física 1'!$EK$31:$EK$40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AF4-428B-9FED-DC069FB48360}"/>
            </c:ext>
          </c:extLst>
        </c:ser>
        <c:ser>
          <c:idx val="1"/>
          <c:order val="1"/>
          <c:invertIfNegative val="0"/>
          <c:val>
            <c:numRef>
              <c:f>'Avaliação Física 1'!$EL$31:$EL$40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'Avaliação Física 1'!$EI$31:$EI$40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AF4-428B-9FED-DC069FB48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9120"/>
        <c:axId val="22870656"/>
      </c:barChart>
      <c:catAx>
        <c:axId val="228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870656"/>
        <c:crosses val="autoZero"/>
        <c:auto val="1"/>
        <c:lblAlgn val="ctr"/>
        <c:lblOffset val="100"/>
        <c:noMultiLvlLbl val="0"/>
      </c:catAx>
      <c:valAx>
        <c:axId val="228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69120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'Avaliação Física 2'!$T$150</c:f>
              <c:strCache>
                <c:ptCount val="1"/>
                <c:pt idx="0">
                  <c:v>Fracionamento da composição corporal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F-45B4-A19D-88E3DC2550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2F-45B4-A19D-88E3DC2550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2F-45B4-A19D-88E3DC2550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2F-45B4-A19D-88E3DC2550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'Avaliação Física 2'!$S$151:$S$154</c:f>
              <c:strCache>
                <c:ptCount val="4"/>
                <c:pt idx="0">
                  <c:v>Massa gorda</c:v>
                </c:pt>
                <c:pt idx="1">
                  <c:v>Massa muscular</c:v>
                </c:pt>
                <c:pt idx="2">
                  <c:v>Massa residual</c:v>
                </c:pt>
                <c:pt idx="3">
                  <c:v>Massa Óssea</c:v>
                </c:pt>
              </c:strCache>
            </c:strRef>
          </c:cat>
          <c:val>
            <c:numRef>
              <c:f>'Avaliação Física 2'!$T$151:$T$154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2F-45B4-A19D-88E3DC2550E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'Avaliação Física 2'!$T$157</c:f>
              <c:strCache>
                <c:ptCount val="1"/>
                <c:pt idx="0">
                  <c:v>Composição Corporal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'Avaliação Física 2'!$S$158:$S$160</c:f>
              <c:strCache>
                <c:ptCount val="3"/>
                <c:pt idx="0">
                  <c:v>Peso</c:v>
                </c:pt>
                <c:pt idx="1">
                  <c:v>Gordura atual (%)</c:v>
                </c:pt>
                <c:pt idx="2">
                  <c:v>Massa livre de gordura</c:v>
                </c:pt>
              </c:strCache>
            </c:strRef>
          </c:cat>
          <c:val>
            <c:numRef>
              <c:f>'Avaliação Física 2'!$T$158:$T$160</c:f>
              <c:numCache>
                <c:formatCode>0.0"%"</c:formatCode>
                <c:ptCount val="3"/>
                <c:pt idx="0" formatCode="0.0&quot;Kg&quot;">
                  <c:v>0</c:v>
                </c:pt>
                <c:pt idx="1">
                  <c:v>0</c:v>
                </c:pt>
                <c:pt idx="2" formatCode="0.0&quot;Kg&quot;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D-463E-ADC8-39587F0D1B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9887039"/>
        <c:axId val="288418687"/>
      </c:barChart>
      <c:catAx>
        <c:axId val="113988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8418687"/>
        <c:crosses val="autoZero"/>
        <c:auto val="1"/>
        <c:lblAlgn val="ctr"/>
        <c:lblOffset val="100"/>
        <c:noMultiLvlLbl val="0"/>
      </c:catAx>
      <c:valAx>
        <c:axId val="2884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3988703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'Avaliação Física 3'!$DV$25</c:f>
              <c:strCache>
                <c:ptCount val="1"/>
                <c:pt idx="0">
                  <c:v>Resultados</c:v>
                </c:pt>
              </c:strCache>
            </c:strRef>
          </c:tx>
          <c:dPt>
            <c:idx val="0"/>
            <c:bubble3D val="0"/>
            <c:explosion val="17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1B92-4C4A-A729-EDD0532A6C6E}"/>
              </c:ext>
            </c:extLst>
          </c:dPt>
          <c:dPt>
            <c:idx val="1"/>
            <c:bubble3D val="0"/>
            <c:explosion val="2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1B92-4C4A-A729-EDD0532A6C6E}"/>
              </c:ext>
            </c:extLst>
          </c:dPt>
          <c:dPt>
            <c:idx val="2"/>
            <c:bubble3D val="0"/>
            <c:explosion val="7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1B92-4C4A-A729-EDD0532A6C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'Avaliação Física 3'!$DT$26:$DU$28</c:f>
              <c:multiLvlStrCache>
                <c:ptCount val="3"/>
                <c:lvl/>
                <c:lvl>
                  <c:pt idx="0">
                    <c:v>Gordura atual (%)</c:v>
                  </c:pt>
                  <c:pt idx="1">
                    <c:v>Peso gordo (kg)</c:v>
                  </c:pt>
                  <c:pt idx="2">
                    <c:v>Peso magro (kg)</c:v>
                  </c:pt>
                </c:lvl>
              </c:multiLvlStrCache>
            </c:multiLvlStrRef>
          </c:cat>
          <c:val>
            <c:numRef>
              <c:f>'Avaliação Física 3'!$DV$26:$DV$28</c:f>
              <c:numCache>
                <c:formatCode>0.0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92-4C4A-A729-EDD0532A6C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0"/>
    <c:dispBlanksAs val="zero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'Avaliação Física 1'!$T$12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fmlaLink="'Avaliação Física 3'!$T$12" lockText="1" noThreeD="1"/>
</file>

<file path=xl/ctrlProps/ctrlProp158.xml><?xml version="1.0" encoding="utf-8"?>
<formControlPr xmlns="http://schemas.microsoft.com/office/spreadsheetml/2009/9/main" objectType="CheckBox" fmlaLink="'Avaliação Física 3'!$T$13" lockText="1" noThreeD="1"/>
</file>

<file path=xl/ctrlProps/ctrlProp159.xml><?xml version="1.0" encoding="utf-8"?>
<formControlPr xmlns="http://schemas.microsoft.com/office/spreadsheetml/2009/9/main" objectType="CheckBox" fmlaLink="'Avaliação Física 3'!$T$15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'Avaliação Física 3'!$T$14" lockText="1" noThreeD="1"/>
</file>

<file path=xl/ctrlProps/ctrlProp161.xml><?xml version="1.0" encoding="utf-8"?>
<formControlPr xmlns="http://schemas.microsoft.com/office/spreadsheetml/2009/9/main" objectType="CheckBox" fmlaLink="'Avaliação Física 3'!$T$16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'Avaliação Física 1'!$T$13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fmlaLink="'Avaliação Física 4'!$T$12" lockText="1" noThreeD="1"/>
</file>

<file path=xl/ctrlProps/ctrlProp236.xml><?xml version="1.0" encoding="utf-8"?>
<formControlPr xmlns="http://schemas.microsoft.com/office/spreadsheetml/2009/9/main" objectType="CheckBox" fmlaLink="'Avaliação Física 4'!$T$13" lockText="1" noThreeD="1"/>
</file>

<file path=xl/ctrlProps/ctrlProp237.xml><?xml version="1.0" encoding="utf-8"?>
<formControlPr xmlns="http://schemas.microsoft.com/office/spreadsheetml/2009/9/main" objectType="CheckBox" fmlaLink="'Avaliação Física 4'!$T$15" lockText="1" noThreeD="1"/>
</file>

<file path=xl/ctrlProps/ctrlProp238.xml><?xml version="1.0" encoding="utf-8"?>
<formControlPr xmlns="http://schemas.microsoft.com/office/spreadsheetml/2009/9/main" objectType="CheckBox" fmlaLink="'Avaliação Física 4'!$T$14" lockText="1" noThreeD="1"/>
</file>

<file path=xl/ctrlProps/ctrlProp239.xml><?xml version="1.0" encoding="utf-8"?>
<formControlPr xmlns="http://schemas.microsoft.com/office/spreadsheetml/2009/9/main" objectType="CheckBox" fmlaLink="'Avaliação Física 4'!$T$16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'Avaliação Física 1'!$T$15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fmlaLink="'Avaliação Física 5'!$T$12" lockText="1" noThreeD="1"/>
</file>

<file path=xl/ctrlProps/ctrlProp314.xml><?xml version="1.0" encoding="utf-8"?>
<formControlPr xmlns="http://schemas.microsoft.com/office/spreadsheetml/2009/9/main" objectType="CheckBox" fmlaLink="'Avaliação Física 5'!$T$13" lockText="1" noThreeD="1"/>
</file>

<file path=xl/ctrlProps/ctrlProp315.xml><?xml version="1.0" encoding="utf-8"?>
<formControlPr xmlns="http://schemas.microsoft.com/office/spreadsheetml/2009/9/main" objectType="CheckBox" fmlaLink="'Avaliação Física 5'!$T$15" lockText="1" noThreeD="1"/>
</file>

<file path=xl/ctrlProps/ctrlProp316.xml><?xml version="1.0" encoding="utf-8"?>
<formControlPr xmlns="http://schemas.microsoft.com/office/spreadsheetml/2009/9/main" objectType="CheckBox" fmlaLink="'Avaliação Física 5'!$T$14" lockText="1" noThreeD="1"/>
</file>

<file path=xl/ctrlProps/ctrlProp317.xml><?xml version="1.0" encoding="utf-8"?>
<formControlPr xmlns="http://schemas.microsoft.com/office/spreadsheetml/2009/9/main" objectType="CheckBox" fmlaLink="'Avaliação Física 5'!$T$16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fmlaLink="'Avaliação Física 6'!$T$12" lockText="1" noThreeD="1"/>
</file>

<file path=xl/ctrlProps/ctrlProp392.xml><?xml version="1.0" encoding="utf-8"?>
<formControlPr xmlns="http://schemas.microsoft.com/office/spreadsheetml/2009/9/main" objectType="CheckBox" fmlaLink="'Avaliação Física 6'!$T$13" lockText="1" noThreeD="1"/>
</file>

<file path=xl/ctrlProps/ctrlProp393.xml><?xml version="1.0" encoding="utf-8"?>
<formControlPr xmlns="http://schemas.microsoft.com/office/spreadsheetml/2009/9/main" objectType="CheckBox" fmlaLink="'Avaliação Física 6'!$T$15" lockText="1" noThreeD="1"/>
</file>

<file path=xl/ctrlProps/ctrlProp394.xml><?xml version="1.0" encoding="utf-8"?>
<formControlPr xmlns="http://schemas.microsoft.com/office/spreadsheetml/2009/9/main" objectType="CheckBox" fmlaLink="'Avaliação Física 6'!$T$14" lockText="1" noThreeD="1"/>
</file>

<file path=xl/ctrlProps/ctrlProp395.xml><?xml version="1.0" encoding="utf-8"?>
<formControlPr xmlns="http://schemas.microsoft.com/office/spreadsheetml/2009/9/main" objectType="CheckBox" fmlaLink="'Avaliação Física 6'!$T$16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fmlaLink="'Avaliação Física 1'!$T$14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fmlaLink="'Avaliação Física 1'!$T$16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fmlaLink="'Avaliação Física 2'!$T$12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'Avaliação Física 2'!$T$13" lockText="1" noThreeD="1"/>
</file>

<file path=xl/ctrlProps/ctrlProp81.xml><?xml version="1.0" encoding="utf-8"?>
<formControlPr xmlns="http://schemas.microsoft.com/office/spreadsheetml/2009/9/main" objectType="CheckBox" fmlaLink="'Avaliação Física 2'!$T$15" lockText="1" noThreeD="1"/>
</file>

<file path=xl/ctrlProps/ctrlProp82.xml><?xml version="1.0" encoding="utf-8"?>
<formControlPr xmlns="http://schemas.microsoft.com/office/spreadsheetml/2009/9/main" objectType="CheckBox" fmlaLink="'Avaliação Física 2'!$T$14" lockText="1" noThreeD="1"/>
</file>

<file path=xl/ctrlProps/ctrlProp83.xml><?xml version="1.0" encoding="utf-8"?>
<formControlPr xmlns="http://schemas.microsoft.com/office/spreadsheetml/2009/9/main" objectType="CheckBox" fmlaLink="'Avaliação Física 2'!$T$16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0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9.jpe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chart" Target="../charts/chart2.xml" /><Relationship Id="rId5" Type="http://schemas.openxmlformats.org/officeDocument/2006/relationships/image" Target="../media/image5.jpeg" /><Relationship Id="rId15" Type="http://schemas.openxmlformats.org/officeDocument/2006/relationships/chart" Target="../charts/chart4.xml" /><Relationship Id="rId10" Type="http://schemas.openxmlformats.org/officeDocument/2006/relationships/chart" Target="../charts/chart1.xml" /><Relationship Id="rId4" Type="http://schemas.openxmlformats.org/officeDocument/2006/relationships/image" Target="../media/image4.jpeg" /><Relationship Id="rId9" Type="http://schemas.openxmlformats.org/officeDocument/2006/relationships/hyperlink" Target="#Menu!A1" /><Relationship Id="rId14" Type="http://schemas.openxmlformats.org/officeDocument/2006/relationships/chart" Target="../charts/chart3.xml" 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0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9.jpe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chart" Target="../charts/chart6.xml" /><Relationship Id="rId5" Type="http://schemas.openxmlformats.org/officeDocument/2006/relationships/image" Target="../media/image5.jpeg" /><Relationship Id="rId15" Type="http://schemas.openxmlformats.org/officeDocument/2006/relationships/chart" Target="../charts/chart8.xml" /><Relationship Id="rId10" Type="http://schemas.openxmlformats.org/officeDocument/2006/relationships/chart" Target="../charts/chart5.xml" /><Relationship Id="rId4" Type="http://schemas.openxmlformats.org/officeDocument/2006/relationships/image" Target="../media/image4.jpeg" /><Relationship Id="rId9" Type="http://schemas.openxmlformats.org/officeDocument/2006/relationships/hyperlink" Target="#Menu!A1" /><Relationship Id="rId14" Type="http://schemas.openxmlformats.org/officeDocument/2006/relationships/chart" Target="../charts/chart7.xml" 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0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9.jpe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chart" Target="../charts/chart10.xml" /><Relationship Id="rId5" Type="http://schemas.openxmlformats.org/officeDocument/2006/relationships/image" Target="../media/image5.jpeg" /><Relationship Id="rId15" Type="http://schemas.openxmlformats.org/officeDocument/2006/relationships/chart" Target="../charts/chart12.xml" /><Relationship Id="rId10" Type="http://schemas.openxmlformats.org/officeDocument/2006/relationships/chart" Target="../charts/chart9.xml" /><Relationship Id="rId4" Type="http://schemas.openxmlformats.org/officeDocument/2006/relationships/image" Target="../media/image4.jpeg" /><Relationship Id="rId9" Type="http://schemas.openxmlformats.org/officeDocument/2006/relationships/hyperlink" Target="#Menu!A1" /><Relationship Id="rId14" Type="http://schemas.openxmlformats.org/officeDocument/2006/relationships/chart" Target="../charts/chart11.xml" 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0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9.jpe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chart" Target="../charts/chart14.xml" /><Relationship Id="rId5" Type="http://schemas.openxmlformats.org/officeDocument/2006/relationships/image" Target="../media/image5.jpeg" /><Relationship Id="rId15" Type="http://schemas.openxmlformats.org/officeDocument/2006/relationships/chart" Target="../charts/chart16.xml" /><Relationship Id="rId10" Type="http://schemas.openxmlformats.org/officeDocument/2006/relationships/chart" Target="../charts/chart13.xml" /><Relationship Id="rId4" Type="http://schemas.openxmlformats.org/officeDocument/2006/relationships/image" Target="../media/image4.jpeg" /><Relationship Id="rId9" Type="http://schemas.openxmlformats.org/officeDocument/2006/relationships/hyperlink" Target="#Menu!A1" /><Relationship Id="rId14" Type="http://schemas.openxmlformats.org/officeDocument/2006/relationships/chart" Target="../charts/chart15.xml" 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0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9.jpe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chart" Target="../charts/chart18.xml" /><Relationship Id="rId5" Type="http://schemas.openxmlformats.org/officeDocument/2006/relationships/image" Target="../media/image5.jpeg" /><Relationship Id="rId15" Type="http://schemas.openxmlformats.org/officeDocument/2006/relationships/chart" Target="../charts/chart20.xml" /><Relationship Id="rId10" Type="http://schemas.openxmlformats.org/officeDocument/2006/relationships/chart" Target="../charts/chart17.xml" /><Relationship Id="rId4" Type="http://schemas.openxmlformats.org/officeDocument/2006/relationships/image" Target="../media/image4.jpeg" /><Relationship Id="rId9" Type="http://schemas.openxmlformats.org/officeDocument/2006/relationships/hyperlink" Target="#Menu!A1" /><Relationship Id="rId14" Type="http://schemas.openxmlformats.org/officeDocument/2006/relationships/chart" Target="../charts/chart19.xml" 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0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9.jpe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chart" Target="../charts/chart22.xml" /><Relationship Id="rId5" Type="http://schemas.openxmlformats.org/officeDocument/2006/relationships/image" Target="../media/image5.jpeg" /><Relationship Id="rId15" Type="http://schemas.openxmlformats.org/officeDocument/2006/relationships/chart" Target="../charts/chart24.xml" /><Relationship Id="rId10" Type="http://schemas.openxmlformats.org/officeDocument/2006/relationships/chart" Target="../charts/chart21.xml" /><Relationship Id="rId4" Type="http://schemas.openxmlformats.org/officeDocument/2006/relationships/image" Target="../media/image4.jpeg" /><Relationship Id="rId9" Type="http://schemas.openxmlformats.org/officeDocument/2006/relationships/hyperlink" Target="#Menu!A1" /><Relationship Id="rId14" Type="http://schemas.openxmlformats.org/officeDocument/2006/relationships/chart" Target="../charts/chart23.xml" 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 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 /><Relationship Id="rId2" Type="http://schemas.openxmlformats.org/officeDocument/2006/relationships/chart" Target="../charts/chart26.xml" /><Relationship Id="rId1" Type="http://schemas.openxmlformats.org/officeDocument/2006/relationships/chart" Target="../charts/chart25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148</xdr:row>
      <xdr:rowOff>142875</xdr:rowOff>
    </xdr:from>
    <xdr:to>
      <xdr:col>3</xdr:col>
      <xdr:colOff>758960</xdr:colOff>
      <xdr:row>153</xdr:row>
      <xdr:rowOff>117180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8488025"/>
          <a:ext cx="581025" cy="94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153</xdr:row>
      <xdr:rowOff>171450</xdr:rowOff>
    </xdr:from>
    <xdr:to>
      <xdr:col>3</xdr:col>
      <xdr:colOff>765729</xdr:colOff>
      <xdr:row>158</xdr:row>
      <xdr:rowOff>116841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19469100"/>
          <a:ext cx="65827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158</xdr:row>
      <xdr:rowOff>142875</xdr:rowOff>
    </xdr:from>
    <xdr:to>
      <xdr:col>3</xdr:col>
      <xdr:colOff>796424</xdr:colOff>
      <xdr:row>162</xdr:row>
      <xdr:rowOff>155036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393025"/>
          <a:ext cx="657225" cy="80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90736</xdr:colOff>
      <xdr:row>278</xdr:row>
      <xdr:rowOff>100265</xdr:rowOff>
    </xdr:from>
    <xdr:to>
      <xdr:col>5</xdr:col>
      <xdr:colOff>491557</xdr:colOff>
      <xdr:row>284</xdr:row>
      <xdr:rowOff>73272</xdr:rowOff>
    </xdr:to>
    <xdr:pic>
      <xdr:nvPicPr>
        <xdr:cNvPr id="26" name="Imagem 61" descr="flexao de braço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868" y="30861002"/>
          <a:ext cx="1543553" cy="114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80213</xdr:colOff>
      <xdr:row>269</xdr:row>
      <xdr:rowOff>160417</xdr:rowOff>
    </xdr:from>
    <xdr:to>
      <xdr:col>5</xdr:col>
      <xdr:colOff>879141</xdr:colOff>
      <xdr:row>275</xdr:row>
      <xdr:rowOff>73165</xdr:rowOff>
    </xdr:to>
    <xdr:pic>
      <xdr:nvPicPr>
        <xdr:cNvPr id="31" name="Imagem 62" descr="abdominal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7"/>
        <a:stretch/>
      </xdr:blipFill>
      <xdr:spPr bwMode="auto">
        <a:xfrm>
          <a:off x="792081" y="29206654"/>
          <a:ext cx="2065419" cy="1091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90639</xdr:colOff>
      <xdr:row>82</xdr:row>
      <xdr:rowOff>58556</xdr:rowOff>
    </xdr:from>
    <xdr:to>
      <xdr:col>15</xdr:col>
      <xdr:colOff>8020</xdr:colOff>
      <xdr:row>96</xdr:row>
      <xdr:rowOff>81016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6888830" y="14179865"/>
          <a:ext cx="1337260" cy="2672894"/>
          <a:chOff x="8091237" y="5313948"/>
          <a:chExt cx="1843521" cy="3157970"/>
        </a:xfrm>
      </xdr:grpSpPr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8091237" y="5313948"/>
            <a:ext cx="1843521" cy="3157970"/>
            <a:chOff x="8813132" y="5514474"/>
            <a:chExt cx="1843521" cy="3157970"/>
          </a:xfrm>
        </xdr:grpSpPr>
        <xdr:pic>
          <xdr:nvPicPr>
            <xdr:cNvPr id="113" name="Imagem 1" descr="masculino_frente.jpg">
              <a:extLst>
                <a:ext uri="{FF2B5EF4-FFF2-40B4-BE49-F238E27FC236}">
                  <a16:creationId xmlns:a16="http://schemas.microsoft.com/office/drawing/2014/main" id="{00000000-0008-0000-0000-00007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13132" y="5514474"/>
              <a:ext cx="1843521" cy="31579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5" name="Seta para a esquerda e para a direita 114">
              <a:extLst>
                <a:ext uri="{FF2B5EF4-FFF2-40B4-BE49-F238E27FC236}">
                  <a16:creationId xmlns:a16="http://schemas.microsoft.com/office/drawing/2014/main" id="{00000000-0008-0000-0000-000073000000}"/>
                </a:ext>
              </a:extLst>
            </xdr:cNvPr>
            <xdr:cNvSpPr/>
          </xdr:nvSpPr>
          <xdr:spPr>
            <a:xfrm>
              <a:off x="9439185" y="7016827"/>
              <a:ext cx="648565" cy="95250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16" name="Seta para a esquerda e para a direita 115">
              <a:extLst>
                <a:ext uri="{FF2B5EF4-FFF2-40B4-BE49-F238E27FC236}">
                  <a16:creationId xmlns:a16="http://schemas.microsoft.com/office/drawing/2014/main" id="{00000000-0008-0000-0000-000074000000}"/>
                </a:ext>
              </a:extLst>
            </xdr:cNvPr>
            <xdr:cNvSpPr/>
          </xdr:nvSpPr>
          <xdr:spPr>
            <a:xfrm>
              <a:off x="9490273" y="6217592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17" name="Seta para a esquerda e para a direita 116">
              <a:extLst>
                <a:ext uri="{FF2B5EF4-FFF2-40B4-BE49-F238E27FC236}">
                  <a16:creationId xmlns:a16="http://schemas.microsoft.com/office/drawing/2014/main" id="{00000000-0008-0000-0000-000075000000}"/>
                </a:ext>
              </a:extLst>
            </xdr:cNvPr>
            <xdr:cNvSpPr/>
          </xdr:nvSpPr>
          <xdr:spPr>
            <a:xfrm>
              <a:off x="9490273" y="6508358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18" name="Seta para a esquerda e para a direita 117">
              <a:extLst>
                <a:ext uri="{FF2B5EF4-FFF2-40B4-BE49-F238E27FC236}">
                  <a16:creationId xmlns:a16="http://schemas.microsoft.com/office/drawing/2014/main" id="{00000000-0008-0000-0000-000076000000}"/>
                </a:ext>
              </a:extLst>
            </xdr:cNvPr>
            <xdr:cNvSpPr/>
          </xdr:nvSpPr>
          <xdr:spPr>
            <a:xfrm rot="19807583">
              <a:off x="10149931" y="663444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19" name="Seta para a esquerda e para a direita 118">
              <a:extLst>
                <a:ext uri="{FF2B5EF4-FFF2-40B4-BE49-F238E27FC236}">
                  <a16:creationId xmlns:a16="http://schemas.microsoft.com/office/drawing/2014/main" id="{00000000-0008-0000-0000-000077000000}"/>
                </a:ext>
              </a:extLst>
            </xdr:cNvPr>
            <xdr:cNvSpPr/>
          </xdr:nvSpPr>
          <xdr:spPr>
            <a:xfrm rot="19807583">
              <a:off x="10041837" y="639439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20" name="Seta para a esquerda e para a direita 119">
              <a:extLst>
                <a:ext uri="{FF2B5EF4-FFF2-40B4-BE49-F238E27FC236}">
                  <a16:creationId xmlns:a16="http://schemas.microsoft.com/office/drawing/2014/main" id="{00000000-0008-0000-0000-000078000000}"/>
                </a:ext>
              </a:extLst>
            </xdr:cNvPr>
            <xdr:cNvSpPr/>
          </xdr:nvSpPr>
          <xdr:spPr>
            <a:xfrm rot="1606633">
              <a:off x="9189784" y="6624919"/>
              <a:ext cx="196781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21" name="Seta para a esquerda e para a direita 120">
              <a:extLst>
                <a:ext uri="{FF2B5EF4-FFF2-40B4-BE49-F238E27FC236}">
                  <a16:creationId xmlns:a16="http://schemas.microsoft.com/office/drawing/2014/main" id="{00000000-0008-0000-0000-000079000000}"/>
                </a:ext>
              </a:extLst>
            </xdr:cNvPr>
            <xdr:cNvSpPr/>
          </xdr:nvSpPr>
          <xdr:spPr>
            <a:xfrm rot="1606633">
              <a:off x="9282932" y="6404880"/>
              <a:ext cx="191819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22" name="Seta para a esquerda e para a direita 121">
              <a:extLst>
                <a:ext uri="{FF2B5EF4-FFF2-40B4-BE49-F238E27FC236}">
                  <a16:creationId xmlns:a16="http://schemas.microsoft.com/office/drawing/2014/main" id="{00000000-0008-0000-0000-00007A000000}"/>
                </a:ext>
              </a:extLst>
            </xdr:cNvPr>
            <xdr:cNvSpPr/>
          </xdr:nvSpPr>
          <xdr:spPr>
            <a:xfrm>
              <a:off x="9410037" y="7305356"/>
              <a:ext cx="341801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23" name="Seta para a esquerda e para a direita 122">
              <a:extLst>
                <a:ext uri="{FF2B5EF4-FFF2-40B4-BE49-F238E27FC236}">
                  <a16:creationId xmlns:a16="http://schemas.microsoft.com/office/drawing/2014/main" id="{00000000-0008-0000-0000-00007B000000}"/>
                </a:ext>
              </a:extLst>
            </xdr:cNvPr>
            <xdr:cNvSpPr/>
          </xdr:nvSpPr>
          <xdr:spPr>
            <a:xfrm>
              <a:off x="9797108" y="7302573"/>
              <a:ext cx="336838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24" name="Seta para a esquerda e para a direita 123">
              <a:extLst>
                <a:ext uri="{FF2B5EF4-FFF2-40B4-BE49-F238E27FC236}">
                  <a16:creationId xmlns:a16="http://schemas.microsoft.com/office/drawing/2014/main" id="{00000000-0008-0000-0000-00007C000000}"/>
                </a:ext>
              </a:extLst>
            </xdr:cNvPr>
            <xdr:cNvSpPr/>
          </xdr:nvSpPr>
          <xdr:spPr>
            <a:xfrm>
              <a:off x="9951258" y="7919450"/>
              <a:ext cx="256464" cy="8582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25" name="Seta para a esquerda e para a direita 124">
              <a:extLst>
                <a:ext uri="{FF2B5EF4-FFF2-40B4-BE49-F238E27FC236}">
                  <a16:creationId xmlns:a16="http://schemas.microsoft.com/office/drawing/2014/main" id="{00000000-0008-0000-0000-00007D000000}"/>
                </a:ext>
              </a:extLst>
            </xdr:cNvPr>
            <xdr:cNvSpPr/>
          </xdr:nvSpPr>
          <xdr:spPr>
            <a:xfrm>
              <a:off x="9387385" y="7941282"/>
              <a:ext cx="256465" cy="87967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31" name="Heptágono 130">
              <a:extLst>
                <a:ext uri="{FF2B5EF4-FFF2-40B4-BE49-F238E27FC236}">
                  <a16:creationId xmlns:a16="http://schemas.microsoft.com/office/drawing/2014/main" id="{00000000-0008-0000-0000-000083000000}"/>
                </a:ext>
              </a:extLst>
            </xdr:cNvPr>
            <xdr:cNvSpPr/>
          </xdr:nvSpPr>
          <xdr:spPr>
            <a:xfrm>
              <a:off x="9661723" y="6198542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1000"/>
                <a:t>2</a:t>
              </a:r>
            </a:p>
          </xdr:txBody>
        </xdr:sp>
        <xdr:sp macro="" textlink="">
          <xdr:nvSpPr>
            <xdr:cNvPr id="132" name="Heptágono 131">
              <a:extLst>
                <a:ext uri="{FF2B5EF4-FFF2-40B4-BE49-F238E27FC236}">
                  <a16:creationId xmlns:a16="http://schemas.microsoft.com/office/drawing/2014/main" id="{00000000-0008-0000-0000-000084000000}"/>
                </a:ext>
              </a:extLst>
            </xdr:cNvPr>
            <xdr:cNvSpPr/>
          </xdr:nvSpPr>
          <xdr:spPr>
            <a:xfrm>
              <a:off x="9661723" y="6479783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3</a:t>
              </a:r>
            </a:p>
          </xdr:txBody>
        </xdr:sp>
        <xdr:sp macro="" textlink="">
          <xdr:nvSpPr>
            <xdr:cNvPr id="133" name="Heptágono 132">
              <a:extLst>
                <a:ext uri="{FF2B5EF4-FFF2-40B4-BE49-F238E27FC236}">
                  <a16:creationId xmlns:a16="http://schemas.microsoft.com/office/drawing/2014/main" id="{00000000-0008-0000-0000-000085000000}"/>
                </a:ext>
              </a:extLst>
            </xdr:cNvPr>
            <xdr:cNvSpPr/>
          </xdr:nvSpPr>
          <xdr:spPr>
            <a:xfrm>
              <a:off x="9661723" y="6988251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5</a:t>
              </a:r>
            </a:p>
          </xdr:txBody>
        </xdr:sp>
        <xdr:sp macro="" textlink="">
          <xdr:nvSpPr>
            <xdr:cNvPr id="134" name="Heptágono 133">
              <a:extLst>
                <a:ext uri="{FF2B5EF4-FFF2-40B4-BE49-F238E27FC236}">
                  <a16:creationId xmlns:a16="http://schemas.microsoft.com/office/drawing/2014/main" id="{00000000-0008-0000-0000-000086000000}"/>
                </a:ext>
              </a:extLst>
            </xdr:cNvPr>
            <xdr:cNvSpPr/>
          </xdr:nvSpPr>
          <xdr:spPr>
            <a:xfrm>
              <a:off x="9661723" y="7263610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800"/>
                <a:t>8</a:t>
              </a:r>
            </a:p>
          </xdr:txBody>
        </xdr:sp>
        <xdr:sp macro="" textlink="">
          <xdr:nvSpPr>
            <xdr:cNvPr id="135" name="Heptágono 134">
              <a:extLst>
                <a:ext uri="{FF2B5EF4-FFF2-40B4-BE49-F238E27FC236}">
                  <a16:creationId xmlns:a16="http://schemas.microsoft.com/office/drawing/2014/main" id="{00000000-0008-0000-0000-000087000000}"/>
                </a:ext>
              </a:extLst>
            </xdr:cNvPr>
            <xdr:cNvSpPr/>
          </xdr:nvSpPr>
          <xdr:spPr>
            <a:xfrm>
              <a:off x="9690298" y="7901785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9</a:t>
              </a:r>
            </a:p>
          </xdr:txBody>
        </xdr:sp>
        <xdr:sp macro="" textlink="">
          <xdr:nvSpPr>
            <xdr:cNvPr id="137" name="Heptágono 136">
              <a:extLst>
                <a:ext uri="{FF2B5EF4-FFF2-40B4-BE49-F238E27FC236}">
                  <a16:creationId xmlns:a16="http://schemas.microsoft.com/office/drawing/2014/main" id="{00000000-0008-0000-0000-000089000000}"/>
                </a:ext>
              </a:extLst>
            </xdr:cNvPr>
            <xdr:cNvSpPr/>
          </xdr:nvSpPr>
          <xdr:spPr>
            <a:xfrm>
              <a:off x="9060481" y="6293158"/>
              <a:ext cx="213515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6</a:t>
              </a:r>
            </a:p>
          </xdr:txBody>
        </xdr:sp>
        <xdr:sp macro="" textlink="">
          <xdr:nvSpPr>
            <xdr:cNvPr id="138" name="Heptágono 137">
              <a:extLst>
                <a:ext uri="{FF2B5EF4-FFF2-40B4-BE49-F238E27FC236}">
                  <a16:creationId xmlns:a16="http://schemas.microsoft.com/office/drawing/2014/main" id="{00000000-0008-0000-0000-00008A000000}"/>
                </a:ext>
              </a:extLst>
            </xdr:cNvPr>
            <xdr:cNvSpPr/>
          </xdr:nvSpPr>
          <xdr:spPr>
            <a:xfrm>
              <a:off x="8946482" y="65128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7</a:t>
              </a:r>
            </a:p>
          </xdr:txBody>
        </xdr:sp>
        <xdr:sp macro="" textlink="">
          <xdr:nvSpPr>
            <xdr:cNvPr id="140" name="Seta para a esquerda e para a direita 139">
              <a:extLst>
                <a:ext uri="{FF2B5EF4-FFF2-40B4-BE49-F238E27FC236}">
                  <a16:creationId xmlns:a16="http://schemas.microsoft.com/office/drawing/2014/main" id="{00000000-0008-0000-0000-00008C000000}"/>
                </a:ext>
              </a:extLst>
            </xdr:cNvPr>
            <xdr:cNvSpPr/>
          </xdr:nvSpPr>
          <xdr:spPr>
            <a:xfrm>
              <a:off x="9353461" y="6084242"/>
              <a:ext cx="810490" cy="11429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41" name="Heptágono 140">
              <a:extLst>
                <a:ext uri="{FF2B5EF4-FFF2-40B4-BE49-F238E27FC236}">
                  <a16:creationId xmlns:a16="http://schemas.microsoft.com/office/drawing/2014/main" id="{00000000-0008-0000-0000-00008D000000}"/>
                </a:ext>
              </a:extLst>
            </xdr:cNvPr>
            <xdr:cNvSpPr/>
          </xdr:nvSpPr>
          <xdr:spPr>
            <a:xfrm>
              <a:off x="9121396" y="60556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1</a:t>
              </a:r>
            </a:p>
          </xdr:txBody>
        </xdr:sp>
      </xdr:grpSp>
      <xdr:sp macro="" textlink="">
        <xdr:nvSpPr>
          <xdr:cNvPr id="142" name="Seta para a esquerda e para a direita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/>
        </xdr:nvSpPr>
        <xdr:spPr>
          <a:xfrm>
            <a:off x="8773027" y="6515601"/>
            <a:ext cx="530802" cy="95249"/>
          </a:xfrm>
          <a:prstGeom prst="leftRightArrow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143" name="Heptágono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/>
        </xdr:nvSpPr>
        <xdr:spPr>
          <a:xfrm>
            <a:off x="8944477" y="6487026"/>
            <a:ext cx="213516" cy="142875"/>
          </a:xfrm>
          <a:prstGeom prst="heptagon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r>
              <a:rPr lang="en-US" sz="900"/>
              <a:t>4</a:t>
            </a:r>
          </a:p>
        </xdr:txBody>
      </xdr:sp>
    </xdr:grpSp>
    <xdr:clientData/>
  </xdr:twoCellAnchor>
  <xdr:twoCellAnchor editAs="oneCell">
    <xdr:from>
      <xdr:col>4</xdr:col>
      <xdr:colOff>160421</xdr:colOff>
      <xdr:row>218</xdr:row>
      <xdr:rowOff>168444</xdr:rowOff>
    </xdr:from>
    <xdr:to>
      <xdr:col>13</xdr:col>
      <xdr:colOff>40907</xdr:colOff>
      <xdr:row>263</xdr:row>
      <xdr:rowOff>187304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5771" t="15378" r="38039" b="20225"/>
        <a:stretch/>
      </xdr:blipFill>
      <xdr:spPr>
        <a:xfrm>
          <a:off x="1995441" y="31985832"/>
          <a:ext cx="5074527" cy="86030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18</xdr:row>
          <xdr:rowOff>91440</xdr:rowOff>
        </xdr:from>
        <xdr:to>
          <xdr:col>3</xdr:col>
          <xdr:colOff>975360</xdr:colOff>
          <xdr:row>20</xdr:row>
          <xdr:rowOff>0</xdr:rowOff>
        </xdr:to>
        <xdr:sp macro="" textlink="">
          <xdr:nvSpPr>
            <xdr:cNvPr id="40973" name="Caixa de seleção 2" hidden="1">
              <a:extLst>
                <a:ext uri="{63B3BB69-23CF-44E3-9099-C40C66FF867C}">
                  <a14:compatExt spid="_x0000_s40973"/>
                </a:ext>
                <a:ext uri="{FF2B5EF4-FFF2-40B4-BE49-F238E27FC236}">
                  <a16:creationId xmlns:a16="http://schemas.microsoft.com/office/drawing/2014/main" id="{00000000-0008-0000-0000-00000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Hipertrofia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91440</xdr:rowOff>
        </xdr:from>
        <xdr:to>
          <xdr:col>5</xdr:col>
          <xdr:colOff>731520</xdr:colOff>
          <xdr:row>20</xdr:row>
          <xdr:rowOff>0</xdr:rowOff>
        </xdr:to>
        <xdr:sp macro="" textlink="">
          <xdr:nvSpPr>
            <xdr:cNvPr id="40974" name="Caixa de seleção 3" hidden="1">
              <a:extLst>
                <a:ext uri="{63B3BB69-23CF-44E3-9099-C40C66FF867C}">
                  <a14:compatExt spid="_x0000_s40974"/>
                </a:ext>
                <a:ext uri="{FF2B5EF4-FFF2-40B4-BE49-F238E27FC236}">
                  <a16:creationId xmlns:a16="http://schemas.microsoft.com/office/drawing/2014/main" id="{00000000-0008-0000-0000-00000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18</xdr:row>
          <xdr:rowOff>91440</xdr:rowOff>
        </xdr:from>
        <xdr:to>
          <xdr:col>9</xdr:col>
          <xdr:colOff>1082040</xdr:colOff>
          <xdr:row>20</xdr:row>
          <xdr:rowOff>0</xdr:rowOff>
        </xdr:to>
        <xdr:sp macro="" textlink="">
          <xdr:nvSpPr>
            <xdr:cNvPr id="40975" name="Caixa de seleção 4" hidden="1">
              <a:extLst>
                <a:ext uri="{63B3BB69-23CF-44E3-9099-C40C66FF867C}">
                  <a14:compatExt spid="_x0000_s40975"/>
                </a:ext>
                <a:ext uri="{FF2B5EF4-FFF2-40B4-BE49-F238E27FC236}">
                  <a16:creationId xmlns:a16="http://schemas.microsoft.com/office/drawing/2014/main" id="{00000000-0008-0000-0000-00000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Saúde/ Bem estar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91440</xdr:rowOff>
        </xdr:from>
        <xdr:to>
          <xdr:col>7</xdr:col>
          <xdr:colOff>990600</xdr:colOff>
          <xdr:row>20</xdr:row>
          <xdr:rowOff>0</xdr:rowOff>
        </xdr:to>
        <xdr:sp macro="" textlink="">
          <xdr:nvSpPr>
            <xdr:cNvPr id="40976" name="Caixa de seleção 5" hidden="1">
              <a:extLst>
                <a:ext uri="{63B3BB69-23CF-44E3-9099-C40C66FF867C}">
                  <a14:compatExt spid="_x0000_s40976"/>
                </a:ext>
                <a:ext uri="{FF2B5EF4-FFF2-40B4-BE49-F238E27FC236}">
                  <a16:creationId xmlns:a16="http://schemas.microsoft.com/office/drawing/2014/main" id="{00000000-0008-0000-0000-00001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Definição Muscular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18</xdr:row>
          <xdr:rowOff>91440</xdr:rowOff>
        </xdr:from>
        <xdr:to>
          <xdr:col>12</xdr:col>
          <xdr:colOff>60960</xdr:colOff>
          <xdr:row>20</xdr:row>
          <xdr:rowOff>0</xdr:rowOff>
        </xdr:to>
        <xdr:sp macro="" textlink="">
          <xdr:nvSpPr>
            <xdr:cNvPr id="40977" name="Caixa de seleção 6" hidden="1">
              <a:extLst>
                <a:ext uri="{63B3BB69-23CF-44E3-9099-C40C66FF867C}">
                  <a14:compatExt spid="_x0000_s40977"/>
                </a:ext>
                <a:ext uri="{FF2B5EF4-FFF2-40B4-BE49-F238E27FC236}">
                  <a16:creationId xmlns:a16="http://schemas.microsoft.com/office/drawing/2014/main" id="{00000000-0008-0000-0000-00001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Emagrecimento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</xdr:colOff>
          <xdr:row>18</xdr:row>
          <xdr:rowOff>83820</xdr:rowOff>
        </xdr:from>
        <xdr:to>
          <xdr:col>14</xdr:col>
          <xdr:colOff>106680</xdr:colOff>
          <xdr:row>20</xdr:row>
          <xdr:rowOff>0</xdr:rowOff>
        </xdr:to>
        <xdr:sp macro="" textlink="">
          <xdr:nvSpPr>
            <xdr:cNvPr id="40978" name="Caixa de seleção 6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0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Preparação Física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169</xdr:row>
          <xdr:rowOff>175260</xdr:rowOff>
        </xdr:from>
        <xdr:to>
          <xdr:col>5</xdr:col>
          <xdr:colOff>579120</xdr:colOff>
          <xdr:row>171</xdr:row>
          <xdr:rowOff>38100</xdr:rowOff>
        </xdr:to>
        <xdr:sp macro="" textlink="">
          <xdr:nvSpPr>
            <xdr:cNvPr id="41003" name="Caixa de seleção 42" hidden="1">
              <a:extLst>
                <a:ext uri="{63B3BB69-23CF-44E3-9099-C40C66FF867C}">
                  <a14:compatExt spid="_x0000_s41003"/>
                </a:ext>
                <a:ext uri="{FF2B5EF4-FFF2-40B4-BE49-F238E27FC236}">
                  <a16:creationId xmlns:a16="http://schemas.microsoft.com/office/drawing/2014/main" id="{00000000-0008-0000-0000-00002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169</xdr:row>
          <xdr:rowOff>175260</xdr:rowOff>
        </xdr:from>
        <xdr:to>
          <xdr:col>7</xdr:col>
          <xdr:colOff>579120</xdr:colOff>
          <xdr:row>171</xdr:row>
          <xdr:rowOff>38100</xdr:rowOff>
        </xdr:to>
        <xdr:sp macro="" textlink="">
          <xdr:nvSpPr>
            <xdr:cNvPr id="41004" name="Caixa de seleção 44" hidden="1">
              <a:extLst>
                <a:ext uri="{63B3BB69-23CF-44E3-9099-C40C66FF867C}">
                  <a14:compatExt spid="_x0000_s41004"/>
                </a:ext>
                <a:ext uri="{FF2B5EF4-FFF2-40B4-BE49-F238E27FC236}">
                  <a16:creationId xmlns:a16="http://schemas.microsoft.com/office/drawing/2014/main" id="{00000000-0008-0000-0000-00002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169</xdr:row>
          <xdr:rowOff>175260</xdr:rowOff>
        </xdr:from>
        <xdr:to>
          <xdr:col>9</xdr:col>
          <xdr:colOff>579120</xdr:colOff>
          <xdr:row>171</xdr:row>
          <xdr:rowOff>38100</xdr:rowOff>
        </xdr:to>
        <xdr:sp macro="" textlink="">
          <xdr:nvSpPr>
            <xdr:cNvPr id="41005" name="Caixa de seleção 45" hidden="1">
              <a:extLst>
                <a:ext uri="{63B3BB69-23CF-44E3-9099-C40C66FF867C}">
                  <a14:compatExt spid="_x0000_s41005"/>
                </a:ext>
                <a:ext uri="{FF2B5EF4-FFF2-40B4-BE49-F238E27FC236}">
                  <a16:creationId xmlns:a16="http://schemas.microsoft.com/office/drawing/2014/main" id="{00000000-0008-0000-0000-00002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Diminuida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171</xdr:row>
          <xdr:rowOff>68580</xdr:rowOff>
        </xdr:from>
        <xdr:to>
          <xdr:col>5</xdr:col>
          <xdr:colOff>609600</xdr:colOff>
          <xdr:row>173</xdr:row>
          <xdr:rowOff>38100</xdr:rowOff>
        </xdr:to>
        <xdr:sp macro="" textlink="">
          <xdr:nvSpPr>
            <xdr:cNvPr id="41006" name="Caixa de seleção 47" hidden="1">
              <a:extLst>
                <a:ext uri="{63B3BB69-23CF-44E3-9099-C40C66FF867C}">
                  <a14:compatExt spid="_x0000_s41006"/>
                </a:ext>
                <a:ext uri="{FF2B5EF4-FFF2-40B4-BE49-F238E27FC236}">
                  <a16:creationId xmlns:a16="http://schemas.microsoft.com/office/drawing/2014/main" id="{00000000-0008-0000-0000-00002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171</xdr:row>
          <xdr:rowOff>68580</xdr:rowOff>
        </xdr:from>
        <xdr:to>
          <xdr:col>7</xdr:col>
          <xdr:colOff>563880</xdr:colOff>
          <xdr:row>173</xdr:row>
          <xdr:rowOff>38100</xdr:rowOff>
        </xdr:to>
        <xdr:sp macro="" textlink="">
          <xdr:nvSpPr>
            <xdr:cNvPr id="41007" name="Caixa de seleção 48" hidden="1">
              <a:extLst>
                <a:ext uri="{63B3BB69-23CF-44E3-9099-C40C66FF867C}">
                  <a14:compatExt spid="_x0000_s41007"/>
                </a:ext>
                <a:ext uri="{FF2B5EF4-FFF2-40B4-BE49-F238E27FC236}">
                  <a16:creationId xmlns:a16="http://schemas.microsoft.com/office/drawing/2014/main" id="{00000000-0008-0000-0000-00002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171</xdr:row>
          <xdr:rowOff>68580</xdr:rowOff>
        </xdr:from>
        <xdr:to>
          <xdr:col>9</xdr:col>
          <xdr:colOff>899160</xdr:colOff>
          <xdr:row>173</xdr:row>
          <xdr:rowOff>38100</xdr:rowOff>
        </xdr:to>
        <xdr:sp macro="" textlink="">
          <xdr:nvSpPr>
            <xdr:cNvPr id="41008" name="Caixa de seleção 49" hidden="1">
              <a:extLst>
                <a:ext uri="{63B3BB69-23CF-44E3-9099-C40C66FF867C}">
                  <a14:compatExt spid="_x0000_s41008"/>
                </a:ext>
                <a:ext uri="{FF2B5EF4-FFF2-40B4-BE49-F238E27FC236}">
                  <a16:creationId xmlns:a16="http://schemas.microsoft.com/office/drawing/2014/main" id="{00000000-0008-0000-0000-00003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Rotação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175</xdr:row>
          <xdr:rowOff>76200</xdr:rowOff>
        </xdr:from>
        <xdr:to>
          <xdr:col>5</xdr:col>
          <xdr:colOff>579120</xdr:colOff>
          <xdr:row>177</xdr:row>
          <xdr:rowOff>45720</xdr:rowOff>
        </xdr:to>
        <xdr:sp macro="" textlink="">
          <xdr:nvSpPr>
            <xdr:cNvPr id="41009" name="Caixa de seleção 50" hidden="1">
              <a:extLst>
                <a:ext uri="{63B3BB69-23CF-44E3-9099-C40C66FF867C}">
                  <a14:compatExt spid="_x0000_s41009"/>
                </a:ext>
                <a:ext uri="{FF2B5EF4-FFF2-40B4-BE49-F238E27FC236}">
                  <a16:creationId xmlns:a16="http://schemas.microsoft.com/office/drawing/2014/main" id="{00000000-0008-0000-0000-00003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175</xdr:row>
          <xdr:rowOff>76200</xdr:rowOff>
        </xdr:from>
        <xdr:to>
          <xdr:col>7</xdr:col>
          <xdr:colOff>579120</xdr:colOff>
          <xdr:row>177</xdr:row>
          <xdr:rowOff>45720</xdr:rowOff>
        </xdr:to>
        <xdr:sp macro="" textlink="">
          <xdr:nvSpPr>
            <xdr:cNvPr id="41010" name="Caixa de seleção 51" hidden="1">
              <a:extLst>
                <a:ext uri="{63B3BB69-23CF-44E3-9099-C40C66FF867C}">
                  <a14:compatExt spid="_x0000_s41010"/>
                </a:ext>
                <a:ext uri="{FF2B5EF4-FFF2-40B4-BE49-F238E27FC236}">
                  <a16:creationId xmlns:a16="http://schemas.microsoft.com/office/drawing/2014/main" id="{00000000-0008-0000-0000-00003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175</xdr:row>
          <xdr:rowOff>76200</xdr:rowOff>
        </xdr:from>
        <xdr:to>
          <xdr:col>9</xdr:col>
          <xdr:colOff>579120</xdr:colOff>
          <xdr:row>177</xdr:row>
          <xdr:rowOff>45720</xdr:rowOff>
        </xdr:to>
        <xdr:sp macro="" textlink="">
          <xdr:nvSpPr>
            <xdr:cNvPr id="41011" name="Caixa de seleção 52" hidden="1">
              <a:extLst>
                <a:ext uri="{63B3BB69-23CF-44E3-9099-C40C66FF867C}">
                  <a14:compatExt spid="_x0000_s41011"/>
                </a:ext>
                <a:ext uri="{FF2B5EF4-FFF2-40B4-BE49-F238E27FC236}">
                  <a16:creationId xmlns:a16="http://schemas.microsoft.com/office/drawing/2014/main" id="{00000000-0008-0000-0000-00003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177</xdr:row>
          <xdr:rowOff>76200</xdr:rowOff>
        </xdr:from>
        <xdr:to>
          <xdr:col>5</xdr:col>
          <xdr:colOff>579120</xdr:colOff>
          <xdr:row>179</xdr:row>
          <xdr:rowOff>53340</xdr:rowOff>
        </xdr:to>
        <xdr:sp macro="" textlink="">
          <xdr:nvSpPr>
            <xdr:cNvPr id="41012" name="Caixa de seleção 53" hidden="1">
              <a:extLst>
                <a:ext uri="{63B3BB69-23CF-44E3-9099-C40C66FF867C}">
                  <a14:compatExt spid="_x0000_s41012"/>
                </a:ext>
                <a:ext uri="{FF2B5EF4-FFF2-40B4-BE49-F238E27FC236}">
                  <a16:creationId xmlns:a16="http://schemas.microsoft.com/office/drawing/2014/main" id="{00000000-0008-0000-0000-00003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Fisioóogica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177</xdr:row>
          <xdr:rowOff>76200</xdr:rowOff>
        </xdr:from>
        <xdr:to>
          <xdr:col>7</xdr:col>
          <xdr:colOff>579120</xdr:colOff>
          <xdr:row>179</xdr:row>
          <xdr:rowOff>53340</xdr:rowOff>
        </xdr:to>
        <xdr:sp macro="" textlink="">
          <xdr:nvSpPr>
            <xdr:cNvPr id="41013" name="Caixa de seleção 54" hidden="1">
              <a:extLst>
                <a:ext uri="{63B3BB69-23CF-44E3-9099-C40C66FF867C}">
                  <a14:compatExt spid="_x0000_s41013"/>
                </a:ext>
                <a:ext uri="{FF2B5EF4-FFF2-40B4-BE49-F238E27FC236}">
                  <a16:creationId xmlns:a16="http://schemas.microsoft.com/office/drawing/2014/main" id="{00000000-0008-0000-0000-00003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177</xdr:row>
          <xdr:rowOff>76200</xdr:rowOff>
        </xdr:from>
        <xdr:to>
          <xdr:col>9</xdr:col>
          <xdr:colOff>579120</xdr:colOff>
          <xdr:row>179</xdr:row>
          <xdr:rowOff>53340</xdr:rowOff>
        </xdr:to>
        <xdr:sp macro="" textlink="">
          <xdr:nvSpPr>
            <xdr:cNvPr id="41014" name="Caixa de seleção 55" hidden="1">
              <a:extLst>
                <a:ext uri="{63B3BB69-23CF-44E3-9099-C40C66FF867C}">
                  <a14:compatExt spid="_x0000_s41014"/>
                </a:ext>
                <a:ext uri="{FF2B5EF4-FFF2-40B4-BE49-F238E27FC236}">
                  <a16:creationId xmlns:a16="http://schemas.microsoft.com/office/drawing/2014/main" id="{00000000-0008-0000-0000-00003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179</xdr:row>
          <xdr:rowOff>76200</xdr:rowOff>
        </xdr:from>
        <xdr:to>
          <xdr:col>5</xdr:col>
          <xdr:colOff>579120</xdr:colOff>
          <xdr:row>181</xdr:row>
          <xdr:rowOff>22860</xdr:rowOff>
        </xdr:to>
        <xdr:sp macro="" textlink="">
          <xdr:nvSpPr>
            <xdr:cNvPr id="41015" name="Caixa de seleção 59" hidden="1">
              <a:extLst>
                <a:ext uri="{63B3BB69-23CF-44E3-9099-C40C66FF867C}">
                  <a14:compatExt spid="_x0000_s41015"/>
                </a:ext>
                <a:ext uri="{FF2B5EF4-FFF2-40B4-BE49-F238E27FC236}">
                  <a16:creationId xmlns:a16="http://schemas.microsoft.com/office/drawing/2014/main" id="{00000000-0008-0000-0000-00003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179</xdr:row>
          <xdr:rowOff>76200</xdr:rowOff>
        </xdr:from>
        <xdr:to>
          <xdr:col>7</xdr:col>
          <xdr:colOff>579120</xdr:colOff>
          <xdr:row>181</xdr:row>
          <xdr:rowOff>22860</xdr:rowOff>
        </xdr:to>
        <xdr:sp macro="" textlink="">
          <xdr:nvSpPr>
            <xdr:cNvPr id="41016" name="Caixa de seleção 60" hidden="1">
              <a:extLst>
                <a:ext uri="{63B3BB69-23CF-44E3-9099-C40C66FF867C}">
                  <a14:compatExt spid="_x0000_s41016"/>
                </a:ext>
                <a:ext uri="{FF2B5EF4-FFF2-40B4-BE49-F238E27FC236}">
                  <a16:creationId xmlns:a16="http://schemas.microsoft.com/office/drawing/2014/main" id="{00000000-0008-0000-0000-00003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Anteversão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179</xdr:row>
          <xdr:rowOff>76200</xdr:rowOff>
        </xdr:from>
        <xdr:to>
          <xdr:col>9</xdr:col>
          <xdr:colOff>579120</xdr:colOff>
          <xdr:row>181</xdr:row>
          <xdr:rowOff>22860</xdr:rowOff>
        </xdr:to>
        <xdr:sp macro="" textlink="">
          <xdr:nvSpPr>
            <xdr:cNvPr id="41017" name="Caixa de seleção 61" hidden="1">
              <a:extLst>
                <a:ext uri="{63B3BB69-23CF-44E3-9099-C40C66FF867C}">
                  <a14:compatExt spid="_x0000_s41017"/>
                </a:ext>
                <a:ext uri="{FF2B5EF4-FFF2-40B4-BE49-F238E27FC236}">
                  <a16:creationId xmlns:a16="http://schemas.microsoft.com/office/drawing/2014/main" id="{00000000-0008-0000-0000-00003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Retroversão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181</xdr:row>
          <xdr:rowOff>76200</xdr:rowOff>
        </xdr:from>
        <xdr:to>
          <xdr:col>5</xdr:col>
          <xdr:colOff>579120</xdr:colOff>
          <xdr:row>183</xdr:row>
          <xdr:rowOff>38100</xdr:rowOff>
        </xdr:to>
        <xdr:sp macro="" textlink="">
          <xdr:nvSpPr>
            <xdr:cNvPr id="41018" name="Caixa de seleção 62" hidden="1">
              <a:extLst>
                <a:ext uri="{63B3BB69-23CF-44E3-9099-C40C66FF867C}">
                  <a14:compatExt spid="_x0000_s41018"/>
                </a:ext>
                <a:ext uri="{FF2B5EF4-FFF2-40B4-BE49-F238E27FC236}">
                  <a16:creationId xmlns:a16="http://schemas.microsoft.com/office/drawing/2014/main" id="{00000000-0008-0000-0000-00003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181</xdr:row>
          <xdr:rowOff>76200</xdr:rowOff>
        </xdr:from>
        <xdr:to>
          <xdr:col>7</xdr:col>
          <xdr:colOff>579120</xdr:colOff>
          <xdr:row>183</xdr:row>
          <xdr:rowOff>38100</xdr:rowOff>
        </xdr:to>
        <xdr:sp macro="" textlink="">
          <xdr:nvSpPr>
            <xdr:cNvPr id="41019" name="Caixa de seleção 63" hidden="1">
              <a:extLst>
                <a:ext uri="{63B3BB69-23CF-44E3-9099-C40C66FF867C}">
                  <a14:compatExt spid="_x0000_s41019"/>
                </a:ext>
                <a:ext uri="{FF2B5EF4-FFF2-40B4-BE49-F238E27FC236}">
                  <a16:creationId xmlns:a16="http://schemas.microsoft.com/office/drawing/2014/main" id="{00000000-0008-0000-0000-00003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Recurvatum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181</xdr:row>
          <xdr:rowOff>76200</xdr:rowOff>
        </xdr:from>
        <xdr:to>
          <xdr:col>9</xdr:col>
          <xdr:colOff>579120</xdr:colOff>
          <xdr:row>183</xdr:row>
          <xdr:rowOff>38100</xdr:rowOff>
        </xdr:to>
        <xdr:sp macro="" textlink="">
          <xdr:nvSpPr>
            <xdr:cNvPr id="41020" name="Caixa de seleção 64" hidden="1">
              <a:extLst>
                <a:ext uri="{63B3BB69-23CF-44E3-9099-C40C66FF867C}">
                  <a14:compatExt spid="_x0000_s41020"/>
                </a:ext>
                <a:ext uri="{FF2B5EF4-FFF2-40B4-BE49-F238E27FC236}">
                  <a16:creationId xmlns:a16="http://schemas.microsoft.com/office/drawing/2014/main" id="{00000000-0008-0000-0000-00003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Flexo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173</xdr:row>
          <xdr:rowOff>68580</xdr:rowOff>
        </xdr:from>
        <xdr:to>
          <xdr:col>5</xdr:col>
          <xdr:colOff>579120</xdr:colOff>
          <xdr:row>175</xdr:row>
          <xdr:rowOff>45720</xdr:rowOff>
        </xdr:to>
        <xdr:sp macro="" textlink="">
          <xdr:nvSpPr>
            <xdr:cNvPr id="41021" name="Caixa de seleção 107" hidden="1">
              <a:extLst>
                <a:ext uri="{63B3BB69-23CF-44E3-9099-C40C66FF867C}">
                  <a14:compatExt spid="_x0000_s41021"/>
                </a:ext>
                <a:ext uri="{FF2B5EF4-FFF2-40B4-BE49-F238E27FC236}">
                  <a16:creationId xmlns:a16="http://schemas.microsoft.com/office/drawing/2014/main" id="{00000000-0008-0000-0000-00003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173</xdr:row>
          <xdr:rowOff>68580</xdr:rowOff>
        </xdr:from>
        <xdr:to>
          <xdr:col>7</xdr:col>
          <xdr:colOff>563880</xdr:colOff>
          <xdr:row>175</xdr:row>
          <xdr:rowOff>45720</xdr:rowOff>
        </xdr:to>
        <xdr:sp macro="" textlink="">
          <xdr:nvSpPr>
            <xdr:cNvPr id="41022" name="Caixa de seleção 108" hidden="1">
              <a:extLst>
                <a:ext uri="{63B3BB69-23CF-44E3-9099-C40C66FF867C}">
                  <a14:compatExt spid="_x0000_s41022"/>
                </a:ext>
                <a:ext uri="{FF2B5EF4-FFF2-40B4-BE49-F238E27FC236}">
                  <a16:creationId xmlns:a16="http://schemas.microsoft.com/office/drawing/2014/main" id="{00000000-0008-0000-0000-00003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183</xdr:row>
          <xdr:rowOff>76200</xdr:rowOff>
        </xdr:from>
        <xdr:to>
          <xdr:col>7</xdr:col>
          <xdr:colOff>586740</xdr:colOff>
          <xdr:row>185</xdr:row>
          <xdr:rowOff>53340</xdr:rowOff>
        </xdr:to>
        <xdr:sp macro="" textlink="">
          <xdr:nvSpPr>
            <xdr:cNvPr id="41023" name="Caixa de seleção 109" hidden="1">
              <a:extLst>
                <a:ext uri="{63B3BB69-23CF-44E3-9099-C40C66FF867C}">
                  <a14:compatExt spid="_x0000_s41023"/>
                </a:ext>
                <a:ext uri="{FF2B5EF4-FFF2-40B4-BE49-F238E27FC236}">
                  <a16:creationId xmlns:a16="http://schemas.microsoft.com/office/drawing/2014/main" id="{00000000-0008-0000-0000-00003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183</xdr:row>
          <xdr:rowOff>76200</xdr:rowOff>
        </xdr:from>
        <xdr:to>
          <xdr:col>5</xdr:col>
          <xdr:colOff>579120</xdr:colOff>
          <xdr:row>185</xdr:row>
          <xdr:rowOff>53340</xdr:rowOff>
        </xdr:to>
        <xdr:sp macro="" textlink="">
          <xdr:nvSpPr>
            <xdr:cNvPr id="41024" name="Caixa de seleção 110" hidden="1">
              <a:extLst>
                <a:ext uri="{63B3BB69-23CF-44E3-9099-C40C66FF867C}">
                  <a14:compatExt spid="_x0000_s41024"/>
                </a:ext>
                <a:ext uri="{FF2B5EF4-FFF2-40B4-BE49-F238E27FC236}">
                  <a16:creationId xmlns:a16="http://schemas.microsoft.com/office/drawing/2014/main" id="{00000000-0008-0000-0000-00004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183</xdr:row>
          <xdr:rowOff>76200</xdr:rowOff>
        </xdr:from>
        <xdr:to>
          <xdr:col>9</xdr:col>
          <xdr:colOff>579120</xdr:colOff>
          <xdr:row>185</xdr:row>
          <xdr:rowOff>45720</xdr:rowOff>
        </xdr:to>
        <xdr:sp macro="" textlink="">
          <xdr:nvSpPr>
            <xdr:cNvPr id="41025" name="Caixa de seleção 111" hidden="1">
              <a:extLst>
                <a:ext uri="{63B3BB69-23CF-44E3-9099-C40C66FF867C}">
                  <a14:compatExt spid="_x0000_s41025"/>
                </a:ext>
                <a:ext uri="{FF2B5EF4-FFF2-40B4-BE49-F238E27FC236}">
                  <a16:creationId xmlns:a16="http://schemas.microsoft.com/office/drawing/2014/main" id="{00000000-0008-0000-0000-00004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Calcâneo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184</xdr:row>
          <xdr:rowOff>182880</xdr:rowOff>
        </xdr:from>
        <xdr:to>
          <xdr:col>5</xdr:col>
          <xdr:colOff>571500</xdr:colOff>
          <xdr:row>186</xdr:row>
          <xdr:rowOff>53340</xdr:rowOff>
        </xdr:to>
        <xdr:sp macro="" textlink="">
          <xdr:nvSpPr>
            <xdr:cNvPr id="41026" name="Caixa de seleção 112" hidden="1">
              <a:extLst>
                <a:ext uri="{63B3BB69-23CF-44E3-9099-C40C66FF867C}">
                  <a14:compatExt spid="_x0000_s41026"/>
                </a:ext>
                <a:ext uri="{FF2B5EF4-FFF2-40B4-BE49-F238E27FC236}">
                  <a16:creationId xmlns:a16="http://schemas.microsoft.com/office/drawing/2014/main" id="{00000000-0008-0000-0000-00004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Equino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199</xdr:row>
          <xdr:rowOff>7620</xdr:rowOff>
        </xdr:from>
        <xdr:to>
          <xdr:col>3</xdr:col>
          <xdr:colOff>723900</xdr:colOff>
          <xdr:row>200</xdr:row>
          <xdr:rowOff>60960</xdr:rowOff>
        </xdr:to>
        <xdr:sp macro="" textlink="">
          <xdr:nvSpPr>
            <xdr:cNvPr id="41027" name="Caixa de seleção 46" hidden="1">
              <a:extLst>
                <a:ext uri="{63B3BB69-23CF-44E3-9099-C40C66FF867C}">
                  <a14:compatExt spid="_x0000_s41027"/>
                </a:ext>
                <a:ext uri="{FF2B5EF4-FFF2-40B4-BE49-F238E27FC236}">
                  <a16:creationId xmlns:a16="http://schemas.microsoft.com/office/drawing/2014/main" id="{00000000-0008-0000-0000-00004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Em "S"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190</xdr:row>
          <xdr:rowOff>7620</xdr:rowOff>
        </xdr:from>
        <xdr:to>
          <xdr:col>3</xdr:col>
          <xdr:colOff>708660</xdr:colOff>
          <xdr:row>191</xdr:row>
          <xdr:rowOff>60960</xdr:rowOff>
        </xdr:to>
        <xdr:sp macro="" textlink="">
          <xdr:nvSpPr>
            <xdr:cNvPr id="41028" name="Caixa de seleção 65" hidden="1">
              <a:extLst>
                <a:ext uri="{63B3BB69-23CF-44E3-9099-C40C66FF867C}">
                  <a14:compatExt spid="_x0000_s41028"/>
                </a:ext>
                <a:ext uri="{FF2B5EF4-FFF2-40B4-BE49-F238E27FC236}">
                  <a16:creationId xmlns:a16="http://schemas.microsoft.com/office/drawing/2014/main" id="{00000000-0008-0000-0000-00004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189</xdr:row>
          <xdr:rowOff>7620</xdr:rowOff>
        </xdr:from>
        <xdr:to>
          <xdr:col>5</xdr:col>
          <xdr:colOff>91440</xdr:colOff>
          <xdr:row>190</xdr:row>
          <xdr:rowOff>60960</xdr:rowOff>
        </xdr:to>
        <xdr:sp macro="" textlink="">
          <xdr:nvSpPr>
            <xdr:cNvPr id="41029" name="Caixa de seleção 66" hidden="1">
              <a:extLst>
                <a:ext uri="{63B3BB69-23CF-44E3-9099-C40C66FF867C}">
                  <a14:compatExt spid="_x0000_s41029"/>
                </a:ext>
                <a:ext uri="{FF2B5EF4-FFF2-40B4-BE49-F238E27FC236}">
                  <a16:creationId xmlns:a16="http://schemas.microsoft.com/office/drawing/2014/main" id="{00000000-0008-0000-0000-00004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189</xdr:row>
          <xdr:rowOff>7620</xdr:rowOff>
        </xdr:from>
        <xdr:to>
          <xdr:col>7</xdr:col>
          <xdr:colOff>259080</xdr:colOff>
          <xdr:row>190</xdr:row>
          <xdr:rowOff>60960</xdr:rowOff>
        </xdr:to>
        <xdr:sp macro="" textlink="">
          <xdr:nvSpPr>
            <xdr:cNvPr id="41030" name="Caixa de seleção 67" hidden="1">
              <a:extLst>
                <a:ext uri="{63B3BB69-23CF-44E3-9099-C40C66FF867C}">
                  <a14:compatExt spid="_x0000_s41030"/>
                </a:ext>
                <a:ext uri="{FF2B5EF4-FFF2-40B4-BE49-F238E27FC236}">
                  <a16:creationId xmlns:a16="http://schemas.microsoft.com/office/drawing/2014/main" id="{00000000-0008-0000-0000-00004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198</xdr:row>
          <xdr:rowOff>7620</xdr:rowOff>
        </xdr:from>
        <xdr:to>
          <xdr:col>5</xdr:col>
          <xdr:colOff>22860</xdr:colOff>
          <xdr:row>199</xdr:row>
          <xdr:rowOff>60960</xdr:rowOff>
        </xdr:to>
        <xdr:sp macro="" textlink="">
          <xdr:nvSpPr>
            <xdr:cNvPr id="41032" name="Caixa de seleção 69" hidden="1">
              <a:extLst>
                <a:ext uri="{63B3BB69-23CF-44E3-9099-C40C66FF867C}">
                  <a14:compatExt spid="_x0000_s41032"/>
                </a:ext>
                <a:ext uri="{FF2B5EF4-FFF2-40B4-BE49-F238E27FC236}">
                  <a16:creationId xmlns:a16="http://schemas.microsoft.com/office/drawing/2014/main" id="{00000000-0008-0000-0000-00004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198</xdr:row>
          <xdr:rowOff>7620</xdr:rowOff>
        </xdr:from>
        <xdr:to>
          <xdr:col>7</xdr:col>
          <xdr:colOff>83820</xdr:colOff>
          <xdr:row>199</xdr:row>
          <xdr:rowOff>60960</xdr:rowOff>
        </xdr:to>
        <xdr:sp macro="" textlink="">
          <xdr:nvSpPr>
            <xdr:cNvPr id="41033" name="Caixa de seleção 70" hidden="1">
              <a:extLst>
                <a:ext uri="{63B3BB69-23CF-44E3-9099-C40C66FF867C}">
                  <a14:compatExt spid="_x0000_s41033"/>
                </a:ext>
                <a:ext uri="{FF2B5EF4-FFF2-40B4-BE49-F238E27FC236}">
                  <a16:creationId xmlns:a16="http://schemas.microsoft.com/office/drawing/2014/main" id="{00000000-0008-0000-0000-00004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Torácica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195</xdr:row>
          <xdr:rowOff>7620</xdr:rowOff>
        </xdr:from>
        <xdr:to>
          <xdr:col>3</xdr:col>
          <xdr:colOff>708660</xdr:colOff>
          <xdr:row>196</xdr:row>
          <xdr:rowOff>60960</xdr:rowOff>
        </xdr:to>
        <xdr:sp macro="" textlink="">
          <xdr:nvSpPr>
            <xdr:cNvPr id="41034" name="Caixa de seleção 71" hidden="1">
              <a:extLst>
                <a:ext uri="{63B3BB69-23CF-44E3-9099-C40C66FF867C}">
                  <a14:compatExt spid="_x0000_s41034"/>
                </a:ext>
                <a:ext uri="{FF2B5EF4-FFF2-40B4-BE49-F238E27FC236}">
                  <a16:creationId xmlns:a16="http://schemas.microsoft.com/office/drawing/2014/main" id="{00000000-0008-0000-0000-00004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Abduzida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193</xdr:row>
          <xdr:rowOff>7620</xdr:rowOff>
        </xdr:from>
        <xdr:to>
          <xdr:col>4</xdr:col>
          <xdr:colOff>129540</xdr:colOff>
          <xdr:row>194</xdr:row>
          <xdr:rowOff>60960</xdr:rowOff>
        </xdr:to>
        <xdr:sp macro="" textlink="">
          <xdr:nvSpPr>
            <xdr:cNvPr id="41035" name="Caixa de seleção 72" hidden="1">
              <a:extLst>
                <a:ext uri="{63B3BB69-23CF-44E3-9099-C40C66FF867C}">
                  <a14:compatExt spid="_x0000_s41035"/>
                </a:ext>
                <a:ext uri="{FF2B5EF4-FFF2-40B4-BE49-F238E27FC236}">
                  <a16:creationId xmlns:a16="http://schemas.microsoft.com/office/drawing/2014/main" id="{00000000-0008-0000-0000-00004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193</xdr:row>
          <xdr:rowOff>7620</xdr:rowOff>
        </xdr:from>
        <xdr:to>
          <xdr:col>5</xdr:col>
          <xdr:colOff>701040</xdr:colOff>
          <xdr:row>194</xdr:row>
          <xdr:rowOff>60960</xdr:rowOff>
        </xdr:to>
        <xdr:sp macro="" textlink="">
          <xdr:nvSpPr>
            <xdr:cNvPr id="41036" name="Caixa de seleção 73" hidden="1">
              <a:extLst>
                <a:ext uri="{63B3BB69-23CF-44E3-9099-C40C66FF867C}">
                  <a14:compatExt spid="_x0000_s41036"/>
                </a:ext>
                <a:ext uri="{FF2B5EF4-FFF2-40B4-BE49-F238E27FC236}">
                  <a16:creationId xmlns:a16="http://schemas.microsoft.com/office/drawing/2014/main" id="{00000000-0008-0000-0000-00004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194</xdr:row>
          <xdr:rowOff>7620</xdr:rowOff>
        </xdr:from>
        <xdr:to>
          <xdr:col>3</xdr:col>
          <xdr:colOff>975360</xdr:colOff>
          <xdr:row>195</xdr:row>
          <xdr:rowOff>60960</xdr:rowOff>
        </xdr:to>
        <xdr:sp macro="" textlink="">
          <xdr:nvSpPr>
            <xdr:cNvPr id="41037" name="Caixa de seleção 77" hidden="1">
              <a:extLst>
                <a:ext uri="{63B3BB69-23CF-44E3-9099-C40C66FF867C}">
                  <a14:compatExt spid="_x0000_s41037"/>
                </a:ext>
                <a:ext uri="{FF2B5EF4-FFF2-40B4-BE49-F238E27FC236}">
                  <a16:creationId xmlns:a16="http://schemas.microsoft.com/office/drawing/2014/main" id="{00000000-0008-0000-0000-00004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Inferior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194</xdr:row>
          <xdr:rowOff>7620</xdr:rowOff>
        </xdr:from>
        <xdr:to>
          <xdr:col>6</xdr:col>
          <xdr:colOff>91440</xdr:colOff>
          <xdr:row>195</xdr:row>
          <xdr:rowOff>60960</xdr:rowOff>
        </xdr:to>
        <xdr:sp macro="" textlink="">
          <xdr:nvSpPr>
            <xdr:cNvPr id="41038" name="Caixa de seleção 78" hidden="1">
              <a:extLst>
                <a:ext uri="{63B3BB69-23CF-44E3-9099-C40C66FF867C}">
                  <a14:compatExt spid="_x0000_s41038"/>
                </a:ext>
                <a:ext uri="{FF2B5EF4-FFF2-40B4-BE49-F238E27FC236}">
                  <a16:creationId xmlns:a16="http://schemas.microsoft.com/office/drawing/2014/main" id="{00000000-0008-0000-0000-00004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Superior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211</xdr:row>
          <xdr:rowOff>0</xdr:rowOff>
        </xdr:from>
        <xdr:to>
          <xdr:col>3</xdr:col>
          <xdr:colOff>708660</xdr:colOff>
          <xdr:row>212</xdr:row>
          <xdr:rowOff>60960</xdr:rowOff>
        </xdr:to>
        <xdr:sp macro="" textlink="">
          <xdr:nvSpPr>
            <xdr:cNvPr id="41039" name="Caixa de seleção 80" hidden="1">
              <a:extLst>
                <a:ext uri="{63B3BB69-23CF-44E3-9099-C40C66FF867C}">
                  <a14:compatExt spid="_x0000_s41039"/>
                </a:ext>
                <a:ext uri="{FF2B5EF4-FFF2-40B4-BE49-F238E27FC236}">
                  <a16:creationId xmlns:a16="http://schemas.microsoft.com/office/drawing/2014/main" id="{00000000-0008-0000-0000-00004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211</xdr:row>
          <xdr:rowOff>0</xdr:rowOff>
        </xdr:from>
        <xdr:to>
          <xdr:col>5</xdr:col>
          <xdr:colOff>685800</xdr:colOff>
          <xdr:row>212</xdr:row>
          <xdr:rowOff>60960</xdr:rowOff>
        </xdr:to>
        <xdr:sp macro="" textlink="">
          <xdr:nvSpPr>
            <xdr:cNvPr id="41040" name="Caixa de seleção 81" hidden="1">
              <a:extLst>
                <a:ext uri="{63B3BB69-23CF-44E3-9099-C40C66FF867C}">
                  <a14:compatExt spid="_x0000_s41040"/>
                </a:ext>
                <a:ext uri="{FF2B5EF4-FFF2-40B4-BE49-F238E27FC236}">
                  <a16:creationId xmlns:a16="http://schemas.microsoft.com/office/drawing/2014/main" id="{00000000-0008-0000-0000-00005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208</xdr:row>
          <xdr:rowOff>7620</xdr:rowOff>
        </xdr:from>
        <xdr:to>
          <xdr:col>3</xdr:col>
          <xdr:colOff>708660</xdr:colOff>
          <xdr:row>209</xdr:row>
          <xdr:rowOff>60960</xdr:rowOff>
        </xdr:to>
        <xdr:sp macro="" textlink="">
          <xdr:nvSpPr>
            <xdr:cNvPr id="41042" name="Caixa de seleção 83" hidden="1">
              <a:extLst>
                <a:ext uri="{63B3BB69-23CF-44E3-9099-C40C66FF867C}">
                  <a14:compatExt spid="_x0000_s41042"/>
                </a:ext>
                <a:ext uri="{FF2B5EF4-FFF2-40B4-BE49-F238E27FC236}">
                  <a16:creationId xmlns:a16="http://schemas.microsoft.com/office/drawing/2014/main" id="{00000000-0008-0000-0000-00005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208</xdr:row>
          <xdr:rowOff>7620</xdr:rowOff>
        </xdr:from>
        <xdr:to>
          <xdr:col>5</xdr:col>
          <xdr:colOff>685800</xdr:colOff>
          <xdr:row>209</xdr:row>
          <xdr:rowOff>60960</xdr:rowOff>
        </xdr:to>
        <xdr:sp macro="" textlink="">
          <xdr:nvSpPr>
            <xdr:cNvPr id="41043" name="Caixa de seleção 84" hidden="1">
              <a:extLst>
                <a:ext uri="{63B3BB69-23CF-44E3-9099-C40C66FF867C}">
                  <a14:compatExt spid="_x0000_s41043"/>
                </a:ext>
                <a:ext uri="{FF2B5EF4-FFF2-40B4-BE49-F238E27FC236}">
                  <a16:creationId xmlns:a16="http://schemas.microsoft.com/office/drawing/2014/main" id="{00000000-0008-0000-0000-00005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838200</xdr:colOff>
          <xdr:row>208</xdr:row>
          <xdr:rowOff>15240</xdr:rowOff>
        </xdr:from>
        <xdr:to>
          <xdr:col>7</xdr:col>
          <xdr:colOff>396240</xdr:colOff>
          <xdr:row>209</xdr:row>
          <xdr:rowOff>68580</xdr:rowOff>
        </xdr:to>
        <xdr:sp macro="" textlink="">
          <xdr:nvSpPr>
            <xdr:cNvPr id="41044" name="Caixa de seleção 85" hidden="1">
              <a:extLst>
                <a:ext uri="{63B3BB69-23CF-44E3-9099-C40C66FF867C}">
                  <a14:compatExt spid="_x0000_s41044"/>
                </a:ext>
                <a:ext uri="{FF2B5EF4-FFF2-40B4-BE49-F238E27FC236}">
                  <a16:creationId xmlns:a16="http://schemas.microsoft.com/office/drawing/2014/main" id="{00000000-0008-0000-0000-00005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189</xdr:row>
          <xdr:rowOff>7620</xdr:rowOff>
        </xdr:from>
        <xdr:to>
          <xdr:col>9</xdr:col>
          <xdr:colOff>701040</xdr:colOff>
          <xdr:row>190</xdr:row>
          <xdr:rowOff>60960</xdr:rowOff>
        </xdr:to>
        <xdr:sp macro="" textlink="">
          <xdr:nvSpPr>
            <xdr:cNvPr id="41045" name="Caixa de seleção 86" hidden="1">
              <a:extLst>
                <a:ext uri="{63B3BB69-23CF-44E3-9099-C40C66FF867C}">
                  <a14:compatExt spid="_x0000_s41045"/>
                </a:ext>
                <a:ext uri="{FF2B5EF4-FFF2-40B4-BE49-F238E27FC236}">
                  <a16:creationId xmlns:a16="http://schemas.microsoft.com/office/drawing/2014/main" id="{00000000-0008-0000-0000-00005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189</xdr:row>
          <xdr:rowOff>7620</xdr:rowOff>
        </xdr:from>
        <xdr:to>
          <xdr:col>11</xdr:col>
          <xdr:colOff>670560</xdr:colOff>
          <xdr:row>190</xdr:row>
          <xdr:rowOff>60960</xdr:rowOff>
        </xdr:to>
        <xdr:sp macro="" textlink="">
          <xdr:nvSpPr>
            <xdr:cNvPr id="41046" name="Caixa de seleção 87" hidden="1">
              <a:extLst>
                <a:ext uri="{63B3BB69-23CF-44E3-9099-C40C66FF867C}">
                  <a14:compatExt spid="_x0000_s41046"/>
                </a:ext>
                <a:ext uri="{FF2B5EF4-FFF2-40B4-BE49-F238E27FC236}">
                  <a16:creationId xmlns:a16="http://schemas.microsoft.com/office/drawing/2014/main" id="{00000000-0008-0000-0000-00005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198</xdr:row>
          <xdr:rowOff>167640</xdr:rowOff>
        </xdr:from>
        <xdr:to>
          <xdr:col>9</xdr:col>
          <xdr:colOff>693420</xdr:colOff>
          <xdr:row>200</xdr:row>
          <xdr:rowOff>60960</xdr:rowOff>
        </xdr:to>
        <xdr:sp macro="" textlink="">
          <xdr:nvSpPr>
            <xdr:cNvPr id="41049" name="Caixa de seleção 92" hidden="1">
              <a:extLst>
                <a:ext uri="{63B3BB69-23CF-44E3-9099-C40C66FF867C}">
                  <a14:compatExt spid="_x0000_s41049"/>
                </a:ext>
                <a:ext uri="{FF2B5EF4-FFF2-40B4-BE49-F238E27FC236}">
                  <a16:creationId xmlns:a16="http://schemas.microsoft.com/office/drawing/2014/main" id="{00000000-0008-0000-0000-00005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197</xdr:row>
          <xdr:rowOff>175260</xdr:rowOff>
        </xdr:from>
        <xdr:to>
          <xdr:col>9</xdr:col>
          <xdr:colOff>701040</xdr:colOff>
          <xdr:row>199</xdr:row>
          <xdr:rowOff>68580</xdr:rowOff>
        </xdr:to>
        <xdr:sp macro="" textlink="">
          <xdr:nvSpPr>
            <xdr:cNvPr id="41050" name="Caixa de seleção 93" hidden="1">
              <a:extLst>
                <a:ext uri="{63B3BB69-23CF-44E3-9099-C40C66FF867C}">
                  <a14:compatExt spid="_x0000_s41050"/>
                </a:ext>
                <a:ext uri="{FF2B5EF4-FFF2-40B4-BE49-F238E27FC236}">
                  <a16:creationId xmlns:a16="http://schemas.microsoft.com/office/drawing/2014/main" id="{00000000-0008-0000-0000-00005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197</xdr:row>
          <xdr:rowOff>175260</xdr:rowOff>
        </xdr:from>
        <xdr:to>
          <xdr:col>11</xdr:col>
          <xdr:colOff>693420</xdr:colOff>
          <xdr:row>199</xdr:row>
          <xdr:rowOff>68580</xdr:rowOff>
        </xdr:to>
        <xdr:sp macro="" textlink="">
          <xdr:nvSpPr>
            <xdr:cNvPr id="41051" name="Caixa de seleção 94" hidden="1">
              <a:extLst>
                <a:ext uri="{63B3BB69-23CF-44E3-9099-C40C66FF867C}">
                  <a14:compatExt spid="_x0000_s41051"/>
                </a:ext>
                <a:ext uri="{FF2B5EF4-FFF2-40B4-BE49-F238E27FC236}">
                  <a16:creationId xmlns:a16="http://schemas.microsoft.com/office/drawing/2014/main" id="{00000000-0008-0000-0000-00005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204</xdr:row>
          <xdr:rowOff>175260</xdr:rowOff>
        </xdr:from>
        <xdr:to>
          <xdr:col>9</xdr:col>
          <xdr:colOff>693420</xdr:colOff>
          <xdr:row>206</xdr:row>
          <xdr:rowOff>68580</xdr:rowOff>
        </xdr:to>
        <xdr:sp macro="" textlink="">
          <xdr:nvSpPr>
            <xdr:cNvPr id="41052" name="Caixa de seleção 95" hidden="1">
              <a:extLst>
                <a:ext uri="{63B3BB69-23CF-44E3-9099-C40C66FF867C}">
                  <a14:compatExt spid="_x0000_s41052"/>
                </a:ext>
                <a:ext uri="{FF2B5EF4-FFF2-40B4-BE49-F238E27FC236}">
                  <a16:creationId xmlns:a16="http://schemas.microsoft.com/office/drawing/2014/main" id="{00000000-0008-0000-0000-00005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203</xdr:row>
          <xdr:rowOff>175260</xdr:rowOff>
        </xdr:from>
        <xdr:to>
          <xdr:col>9</xdr:col>
          <xdr:colOff>701040</xdr:colOff>
          <xdr:row>205</xdr:row>
          <xdr:rowOff>68580</xdr:rowOff>
        </xdr:to>
        <xdr:sp macro="" textlink="">
          <xdr:nvSpPr>
            <xdr:cNvPr id="41053" name="Caixa de seleção 96" hidden="1">
              <a:extLst>
                <a:ext uri="{63B3BB69-23CF-44E3-9099-C40C66FF867C}">
                  <a14:compatExt spid="_x0000_s41053"/>
                </a:ext>
                <a:ext uri="{FF2B5EF4-FFF2-40B4-BE49-F238E27FC236}">
                  <a16:creationId xmlns:a16="http://schemas.microsoft.com/office/drawing/2014/main" id="{00000000-0008-0000-0000-00005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Lateralizada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203</xdr:row>
          <xdr:rowOff>175260</xdr:rowOff>
        </xdr:from>
        <xdr:to>
          <xdr:col>11</xdr:col>
          <xdr:colOff>693420</xdr:colOff>
          <xdr:row>205</xdr:row>
          <xdr:rowOff>68580</xdr:rowOff>
        </xdr:to>
        <xdr:sp macro="" textlink="">
          <xdr:nvSpPr>
            <xdr:cNvPr id="41054" name="Caixa de seleção 97" hidden="1">
              <a:extLst>
                <a:ext uri="{63B3BB69-23CF-44E3-9099-C40C66FF867C}">
                  <a14:compatExt spid="_x0000_s41054"/>
                </a:ext>
                <a:ext uri="{FF2B5EF4-FFF2-40B4-BE49-F238E27FC236}">
                  <a16:creationId xmlns:a16="http://schemas.microsoft.com/office/drawing/2014/main" id="{00000000-0008-0000-0000-00005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Medializada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193</xdr:row>
          <xdr:rowOff>175260</xdr:rowOff>
        </xdr:from>
        <xdr:to>
          <xdr:col>9</xdr:col>
          <xdr:colOff>693420</xdr:colOff>
          <xdr:row>195</xdr:row>
          <xdr:rowOff>68580</xdr:rowOff>
        </xdr:to>
        <xdr:sp macro="" textlink="">
          <xdr:nvSpPr>
            <xdr:cNvPr id="41055" name="Caixa de seleção 98" hidden="1">
              <a:extLst>
                <a:ext uri="{63B3BB69-23CF-44E3-9099-C40C66FF867C}">
                  <a14:compatExt spid="_x0000_s41055"/>
                </a:ext>
                <a:ext uri="{FF2B5EF4-FFF2-40B4-BE49-F238E27FC236}">
                  <a16:creationId xmlns:a16="http://schemas.microsoft.com/office/drawing/2014/main" id="{00000000-0008-0000-0000-00005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204</xdr:row>
          <xdr:rowOff>175260</xdr:rowOff>
        </xdr:from>
        <xdr:to>
          <xdr:col>3</xdr:col>
          <xdr:colOff>693420</xdr:colOff>
          <xdr:row>206</xdr:row>
          <xdr:rowOff>68580</xdr:rowOff>
        </xdr:to>
        <xdr:sp macro="" textlink="">
          <xdr:nvSpPr>
            <xdr:cNvPr id="41058" name="Caixa de seleção 104" hidden="1">
              <a:extLst>
                <a:ext uri="{63B3BB69-23CF-44E3-9099-C40C66FF867C}">
                  <a14:compatExt spid="_x0000_s41058"/>
                </a:ext>
                <a:ext uri="{FF2B5EF4-FFF2-40B4-BE49-F238E27FC236}">
                  <a16:creationId xmlns:a16="http://schemas.microsoft.com/office/drawing/2014/main" id="{00000000-0008-0000-0000-00006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129540</xdr:colOff>
          <xdr:row>203</xdr:row>
          <xdr:rowOff>175260</xdr:rowOff>
        </xdr:from>
        <xdr:to>
          <xdr:col>7</xdr:col>
          <xdr:colOff>7620</xdr:colOff>
          <xdr:row>205</xdr:row>
          <xdr:rowOff>68580</xdr:rowOff>
        </xdr:to>
        <xdr:sp macro="" textlink="">
          <xdr:nvSpPr>
            <xdr:cNvPr id="41059" name="Caixa de seleção 105" hidden="1">
              <a:extLst>
                <a:ext uri="{63B3BB69-23CF-44E3-9099-C40C66FF867C}">
                  <a14:compatExt spid="_x0000_s41059"/>
                </a:ext>
                <a:ext uri="{FF2B5EF4-FFF2-40B4-BE49-F238E27FC236}">
                  <a16:creationId xmlns:a16="http://schemas.microsoft.com/office/drawing/2014/main" id="{00000000-0008-0000-0000-00006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203</xdr:row>
          <xdr:rowOff>175260</xdr:rowOff>
        </xdr:from>
        <xdr:to>
          <xdr:col>4</xdr:col>
          <xdr:colOff>144780</xdr:colOff>
          <xdr:row>205</xdr:row>
          <xdr:rowOff>68580</xdr:rowOff>
        </xdr:to>
        <xdr:sp macro="" textlink="">
          <xdr:nvSpPr>
            <xdr:cNvPr id="41060" name="Caixa de seleção 106" hidden="1">
              <a:extLst>
                <a:ext uri="{63B3BB69-23CF-44E3-9099-C40C66FF867C}">
                  <a14:compatExt spid="_x0000_s41060"/>
                </a:ext>
                <a:ext uri="{FF2B5EF4-FFF2-40B4-BE49-F238E27FC236}">
                  <a16:creationId xmlns:a16="http://schemas.microsoft.com/office/drawing/2014/main" id="{00000000-0008-0000-0000-00006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237320</xdr:colOff>
      <xdr:row>0</xdr:row>
      <xdr:rowOff>12213</xdr:rowOff>
    </xdr:from>
    <xdr:to>
      <xdr:col>16</xdr:col>
      <xdr:colOff>0</xdr:colOff>
      <xdr:row>5</xdr:row>
      <xdr:rowOff>79323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5060" y="12213"/>
          <a:ext cx="3560469" cy="1013504"/>
        </a:xfrm>
        <a:prstGeom prst="rect">
          <a:avLst/>
        </a:prstGeom>
      </xdr:spPr>
    </xdr:pic>
    <xdr:clientData/>
  </xdr:twoCellAnchor>
  <xdr:twoCellAnchor>
    <xdr:from>
      <xdr:col>86</xdr:col>
      <xdr:colOff>47625</xdr:colOff>
      <xdr:row>32</xdr:row>
      <xdr:rowOff>47625</xdr:rowOff>
    </xdr:from>
    <xdr:to>
      <xdr:col>88</xdr:col>
      <xdr:colOff>104775</xdr:colOff>
      <xdr:row>34</xdr:row>
      <xdr:rowOff>152399</xdr:rowOff>
    </xdr:to>
    <xdr:sp macro="" textlink="">
      <xdr:nvSpPr>
        <xdr:cNvPr id="152" name="Fluxograma: Processo alternativ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/>
      </xdr:nvSpPr>
      <xdr:spPr>
        <a:xfrm>
          <a:off x="6296025" y="5945505"/>
          <a:ext cx="130683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xdr:twoCellAnchor>
    <xdr:from>
      <xdr:col>126</xdr:col>
      <xdr:colOff>152400</xdr:colOff>
      <xdr:row>11</xdr:row>
      <xdr:rowOff>185736</xdr:rowOff>
    </xdr:from>
    <xdr:to>
      <xdr:col>133</xdr:col>
      <xdr:colOff>962025</xdr:colOff>
      <xdr:row>24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142</xdr:col>
      <xdr:colOff>390524</xdr:colOff>
      <xdr:row>19</xdr:row>
      <xdr:rowOff>109537</xdr:rowOff>
    </xdr:from>
    <xdr:to>
      <xdr:col>150</xdr:col>
      <xdr:colOff>28575</xdr:colOff>
      <xdr:row>41</xdr:row>
      <xdr:rowOff>76200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132</xdr:col>
      <xdr:colOff>57150</xdr:colOff>
      <xdr:row>29</xdr:row>
      <xdr:rowOff>47625</xdr:rowOff>
    </xdr:from>
    <xdr:to>
      <xdr:col>134</xdr:col>
      <xdr:colOff>114300</xdr:colOff>
      <xdr:row>31</xdr:row>
      <xdr:rowOff>152399</xdr:rowOff>
    </xdr:to>
    <xdr:sp macro="" textlink="">
      <xdr:nvSpPr>
        <xdr:cNvPr id="164" name="Fluxograma: Processo alternativ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/>
      </xdr:nvSpPr>
      <xdr:spPr>
        <a:xfrm>
          <a:off x="6305550" y="5404485"/>
          <a:ext cx="130683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47</xdr:row>
          <xdr:rowOff>175260</xdr:rowOff>
        </xdr:from>
        <xdr:to>
          <xdr:col>13</xdr:col>
          <xdr:colOff>495300</xdr:colOff>
          <xdr:row>49</xdr:row>
          <xdr:rowOff>0</xdr:rowOff>
        </xdr:to>
        <xdr:sp macro="" textlink="">
          <xdr:nvSpPr>
            <xdr:cNvPr id="41061" name="Check Box 101" hidden="1">
              <a:extLst>
                <a:ext uri="{63B3BB69-23CF-44E3-9099-C40C66FF867C}">
                  <a14:compatExt spid="_x0000_s41061"/>
                </a:ext>
                <a:ext uri="{FF2B5EF4-FFF2-40B4-BE49-F238E27FC236}">
                  <a16:creationId xmlns:a16="http://schemas.microsoft.com/office/drawing/2014/main" id="{00000000-0008-0000-0000-00006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47</xdr:row>
          <xdr:rowOff>175260</xdr:rowOff>
        </xdr:from>
        <xdr:to>
          <xdr:col>14</xdr:col>
          <xdr:colOff>0</xdr:colOff>
          <xdr:row>49</xdr:row>
          <xdr:rowOff>38100</xdr:rowOff>
        </xdr:to>
        <xdr:sp macro="" textlink="">
          <xdr:nvSpPr>
            <xdr:cNvPr id="41062" name="Check Box 102" hidden="1">
              <a:extLst>
                <a:ext uri="{63B3BB69-23CF-44E3-9099-C40C66FF867C}">
                  <a14:compatExt spid="_x0000_s41062"/>
                </a:ext>
                <a:ext uri="{FF2B5EF4-FFF2-40B4-BE49-F238E27FC236}">
                  <a16:creationId xmlns:a16="http://schemas.microsoft.com/office/drawing/2014/main" id="{00000000-0008-0000-0000-00006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53340</xdr:rowOff>
        </xdr:from>
        <xdr:to>
          <xdr:col>13</xdr:col>
          <xdr:colOff>495300</xdr:colOff>
          <xdr:row>52</xdr:row>
          <xdr:rowOff>38100</xdr:rowOff>
        </xdr:to>
        <xdr:sp macro="" textlink="">
          <xdr:nvSpPr>
            <xdr:cNvPr id="41063" name="Check Box 103" hidden="1">
              <a:extLst>
                <a:ext uri="{63B3BB69-23CF-44E3-9099-C40C66FF867C}">
                  <a14:compatExt spid="_x0000_s41063"/>
                </a:ext>
                <a:ext uri="{FF2B5EF4-FFF2-40B4-BE49-F238E27FC236}">
                  <a16:creationId xmlns:a16="http://schemas.microsoft.com/office/drawing/2014/main" id="{00000000-0008-0000-0000-00006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50</xdr:row>
          <xdr:rowOff>53340</xdr:rowOff>
        </xdr:from>
        <xdr:to>
          <xdr:col>14</xdr:col>
          <xdr:colOff>0</xdr:colOff>
          <xdr:row>52</xdr:row>
          <xdr:rowOff>38100</xdr:rowOff>
        </xdr:to>
        <xdr:sp macro="" textlink="">
          <xdr:nvSpPr>
            <xdr:cNvPr id="41064" name="Check Box 104" hidden="1">
              <a:extLst>
                <a:ext uri="{63B3BB69-23CF-44E3-9099-C40C66FF867C}">
                  <a14:compatExt spid="_x0000_s41064"/>
                </a:ext>
                <a:ext uri="{FF2B5EF4-FFF2-40B4-BE49-F238E27FC236}">
                  <a16:creationId xmlns:a16="http://schemas.microsoft.com/office/drawing/2014/main" id="{00000000-0008-0000-0000-00006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45720</xdr:rowOff>
        </xdr:from>
        <xdr:to>
          <xdr:col>13</xdr:col>
          <xdr:colOff>495300</xdr:colOff>
          <xdr:row>54</xdr:row>
          <xdr:rowOff>38100</xdr:rowOff>
        </xdr:to>
        <xdr:sp macro="" textlink="">
          <xdr:nvSpPr>
            <xdr:cNvPr id="41065" name="Check Box 105" hidden="1">
              <a:extLst>
                <a:ext uri="{63B3BB69-23CF-44E3-9099-C40C66FF867C}">
                  <a14:compatExt spid="_x0000_s41065"/>
                </a:ext>
                <a:ext uri="{FF2B5EF4-FFF2-40B4-BE49-F238E27FC236}">
                  <a16:creationId xmlns:a16="http://schemas.microsoft.com/office/drawing/2014/main" id="{00000000-0008-0000-0000-00006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52</xdr:row>
          <xdr:rowOff>45720</xdr:rowOff>
        </xdr:from>
        <xdr:to>
          <xdr:col>14</xdr:col>
          <xdr:colOff>0</xdr:colOff>
          <xdr:row>54</xdr:row>
          <xdr:rowOff>38100</xdr:rowOff>
        </xdr:to>
        <xdr:sp macro="" textlink="">
          <xdr:nvSpPr>
            <xdr:cNvPr id="41066" name="Check Box 106" hidden="1">
              <a:extLst>
                <a:ext uri="{63B3BB69-23CF-44E3-9099-C40C66FF867C}">
                  <a14:compatExt spid="_x0000_s41066"/>
                </a:ext>
                <a:ext uri="{FF2B5EF4-FFF2-40B4-BE49-F238E27FC236}">
                  <a16:creationId xmlns:a16="http://schemas.microsoft.com/office/drawing/2014/main" id="{00000000-0008-0000-0000-00006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54</xdr:row>
          <xdr:rowOff>53340</xdr:rowOff>
        </xdr:from>
        <xdr:to>
          <xdr:col>13</xdr:col>
          <xdr:colOff>495300</xdr:colOff>
          <xdr:row>56</xdr:row>
          <xdr:rowOff>0</xdr:rowOff>
        </xdr:to>
        <xdr:sp macro="" textlink="">
          <xdr:nvSpPr>
            <xdr:cNvPr id="41067" name="Check Box 107" hidden="1">
              <a:extLst>
                <a:ext uri="{63B3BB69-23CF-44E3-9099-C40C66FF867C}">
                  <a14:compatExt spid="_x0000_s41067"/>
                </a:ext>
                <a:ext uri="{FF2B5EF4-FFF2-40B4-BE49-F238E27FC236}">
                  <a16:creationId xmlns:a16="http://schemas.microsoft.com/office/drawing/2014/main" id="{00000000-0008-0000-0000-00006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54</xdr:row>
          <xdr:rowOff>53340</xdr:rowOff>
        </xdr:from>
        <xdr:to>
          <xdr:col>14</xdr:col>
          <xdr:colOff>0</xdr:colOff>
          <xdr:row>56</xdr:row>
          <xdr:rowOff>38100</xdr:rowOff>
        </xdr:to>
        <xdr:sp macro="" textlink="">
          <xdr:nvSpPr>
            <xdr:cNvPr id="41068" name="Check Box 108" hidden="1">
              <a:extLst>
                <a:ext uri="{63B3BB69-23CF-44E3-9099-C40C66FF867C}">
                  <a14:compatExt spid="_x0000_s41068"/>
                </a:ext>
                <a:ext uri="{FF2B5EF4-FFF2-40B4-BE49-F238E27FC236}">
                  <a16:creationId xmlns:a16="http://schemas.microsoft.com/office/drawing/2014/main" id="{00000000-0008-0000-0000-00006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56</xdr:row>
          <xdr:rowOff>53340</xdr:rowOff>
        </xdr:from>
        <xdr:to>
          <xdr:col>13</xdr:col>
          <xdr:colOff>495300</xdr:colOff>
          <xdr:row>58</xdr:row>
          <xdr:rowOff>38100</xdr:rowOff>
        </xdr:to>
        <xdr:sp macro="" textlink="">
          <xdr:nvSpPr>
            <xdr:cNvPr id="41069" name="Check Box 109" hidden="1">
              <a:extLst>
                <a:ext uri="{63B3BB69-23CF-44E3-9099-C40C66FF867C}">
                  <a14:compatExt spid="_x0000_s41069"/>
                </a:ext>
                <a:ext uri="{FF2B5EF4-FFF2-40B4-BE49-F238E27FC236}">
                  <a16:creationId xmlns:a16="http://schemas.microsoft.com/office/drawing/2014/main" id="{00000000-0008-0000-0000-00006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56</xdr:row>
          <xdr:rowOff>53340</xdr:rowOff>
        </xdr:from>
        <xdr:to>
          <xdr:col>14</xdr:col>
          <xdr:colOff>0</xdr:colOff>
          <xdr:row>58</xdr:row>
          <xdr:rowOff>38100</xdr:rowOff>
        </xdr:to>
        <xdr:sp macro="" textlink="">
          <xdr:nvSpPr>
            <xdr:cNvPr id="41070" name="Check Box 110" hidden="1">
              <a:extLst>
                <a:ext uri="{63B3BB69-23CF-44E3-9099-C40C66FF867C}">
                  <a14:compatExt spid="_x0000_s41070"/>
                </a:ext>
                <a:ext uri="{FF2B5EF4-FFF2-40B4-BE49-F238E27FC236}">
                  <a16:creationId xmlns:a16="http://schemas.microsoft.com/office/drawing/2014/main" id="{00000000-0008-0000-0000-00006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59</xdr:row>
          <xdr:rowOff>53340</xdr:rowOff>
        </xdr:from>
        <xdr:to>
          <xdr:col>13</xdr:col>
          <xdr:colOff>495300</xdr:colOff>
          <xdr:row>61</xdr:row>
          <xdr:rowOff>0</xdr:rowOff>
        </xdr:to>
        <xdr:sp macro="" textlink="">
          <xdr:nvSpPr>
            <xdr:cNvPr id="41071" name="Check Box 111" hidden="1">
              <a:extLst>
                <a:ext uri="{63B3BB69-23CF-44E3-9099-C40C66FF867C}">
                  <a14:compatExt spid="_x0000_s41071"/>
                </a:ext>
                <a:ext uri="{FF2B5EF4-FFF2-40B4-BE49-F238E27FC236}">
                  <a16:creationId xmlns:a16="http://schemas.microsoft.com/office/drawing/2014/main" id="{00000000-0008-0000-0000-00006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59</xdr:row>
          <xdr:rowOff>53340</xdr:rowOff>
        </xdr:from>
        <xdr:to>
          <xdr:col>14</xdr:col>
          <xdr:colOff>0</xdr:colOff>
          <xdr:row>61</xdr:row>
          <xdr:rowOff>38100</xdr:rowOff>
        </xdr:to>
        <xdr:sp macro="" textlink="">
          <xdr:nvSpPr>
            <xdr:cNvPr id="41072" name="Check Box 112" hidden="1">
              <a:extLst>
                <a:ext uri="{63B3BB69-23CF-44E3-9099-C40C66FF867C}">
                  <a14:compatExt spid="_x0000_s41072"/>
                </a:ext>
                <a:ext uri="{FF2B5EF4-FFF2-40B4-BE49-F238E27FC236}">
                  <a16:creationId xmlns:a16="http://schemas.microsoft.com/office/drawing/2014/main" id="{00000000-0008-0000-0000-00007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62</xdr:row>
          <xdr:rowOff>53340</xdr:rowOff>
        </xdr:from>
        <xdr:to>
          <xdr:col>13</xdr:col>
          <xdr:colOff>495300</xdr:colOff>
          <xdr:row>64</xdr:row>
          <xdr:rowOff>38100</xdr:rowOff>
        </xdr:to>
        <xdr:sp macro="" textlink="">
          <xdr:nvSpPr>
            <xdr:cNvPr id="41073" name="Check Box 113" hidden="1">
              <a:extLst>
                <a:ext uri="{63B3BB69-23CF-44E3-9099-C40C66FF867C}">
                  <a14:compatExt spid="_x0000_s41073"/>
                </a:ext>
                <a:ext uri="{FF2B5EF4-FFF2-40B4-BE49-F238E27FC236}">
                  <a16:creationId xmlns:a16="http://schemas.microsoft.com/office/drawing/2014/main" id="{00000000-0008-0000-0000-00007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62</xdr:row>
          <xdr:rowOff>53340</xdr:rowOff>
        </xdr:from>
        <xdr:to>
          <xdr:col>14</xdr:col>
          <xdr:colOff>0</xdr:colOff>
          <xdr:row>64</xdr:row>
          <xdr:rowOff>38100</xdr:rowOff>
        </xdr:to>
        <xdr:sp macro="" textlink="">
          <xdr:nvSpPr>
            <xdr:cNvPr id="41074" name="Check Box 114" hidden="1">
              <a:extLst>
                <a:ext uri="{63B3BB69-23CF-44E3-9099-C40C66FF867C}">
                  <a14:compatExt spid="_x0000_s41074"/>
                </a:ext>
                <a:ext uri="{FF2B5EF4-FFF2-40B4-BE49-F238E27FC236}">
                  <a16:creationId xmlns:a16="http://schemas.microsoft.com/office/drawing/2014/main" id="{00000000-0008-0000-0000-00007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938348</xdr:colOff>
      <xdr:row>102</xdr:row>
      <xdr:rowOff>22859</xdr:rowOff>
    </xdr:from>
    <xdr:to>
      <xdr:col>16</xdr:col>
      <xdr:colOff>76195</xdr:colOff>
      <xdr:row>114</xdr:row>
      <xdr:rowOff>34013</xdr:rowOff>
    </xdr:to>
    <xdr:grpSp>
      <xdr:nvGrpSpPr>
        <xdr:cNvPr id="136" name="Agrupar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GrpSpPr/>
      </xdr:nvGrpSpPr>
      <xdr:grpSpPr>
        <a:xfrm>
          <a:off x="5309844" y="17930502"/>
          <a:ext cx="3079077" cy="2282959"/>
          <a:chOff x="5249487" y="17791734"/>
          <a:chExt cx="3245645" cy="2365535"/>
        </a:xfrm>
      </xdr:grpSpPr>
      <xdr:grpSp>
        <xdr:nvGrpSpPr>
          <xdr:cNvPr id="139" name="Grupo 1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GrpSpPr/>
        </xdr:nvGrpSpPr>
        <xdr:grpSpPr>
          <a:xfrm>
            <a:off x="5358607" y="17791734"/>
            <a:ext cx="3136525" cy="2365535"/>
            <a:chOff x="12007892" y="28838754"/>
            <a:chExt cx="3028012" cy="2412519"/>
          </a:xfrm>
        </xdr:grpSpPr>
        <xdr:pic>
          <xdr:nvPicPr>
            <xdr:cNvPr id="148" name="Imagem 2" descr="ist2_426832_human_anatomy_male_muscles.jpg">
              <a:extLst>
                <a:ext uri="{FF2B5EF4-FFF2-40B4-BE49-F238E27FC236}">
                  <a16:creationId xmlns:a16="http://schemas.microsoft.com/office/drawing/2014/main" id="{00000000-0008-0000-0000-00009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48386" y="28967655"/>
              <a:ext cx="2595563" cy="2283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49" name="CaixaDeTexto 148">
              <a:extLst>
                <a:ext uri="{FF2B5EF4-FFF2-40B4-BE49-F238E27FC236}">
                  <a16:creationId xmlns:a16="http://schemas.microsoft.com/office/drawing/2014/main" id="{00000000-0008-0000-0000-000095000000}"/>
                </a:ext>
              </a:extLst>
            </xdr:cNvPr>
            <xdr:cNvSpPr txBox="1"/>
          </xdr:nvSpPr>
          <xdr:spPr>
            <a:xfrm>
              <a:off x="12007892" y="28838754"/>
              <a:ext cx="759619" cy="2405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Peitoral</a:t>
              </a:r>
            </a:p>
          </xdr:txBody>
        </xdr:sp>
        <xdr:sp macro="" textlink="">
          <xdr:nvSpPr>
            <xdr:cNvPr id="150" name="CaixaDeTexto 149">
              <a:extLst>
                <a:ext uri="{FF2B5EF4-FFF2-40B4-BE49-F238E27FC236}">
                  <a16:creationId xmlns:a16="http://schemas.microsoft.com/office/drawing/2014/main" id="{00000000-0008-0000-0000-000096000000}"/>
                </a:ext>
              </a:extLst>
            </xdr:cNvPr>
            <xdr:cNvSpPr txBox="1"/>
          </xdr:nvSpPr>
          <xdr:spPr>
            <a:xfrm>
              <a:off x="13051520" y="29284247"/>
              <a:ext cx="805957" cy="1545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Abdominal</a:t>
              </a:r>
            </a:p>
          </xdr:txBody>
        </xdr:sp>
        <xdr:sp macro="" textlink="">
          <xdr:nvSpPr>
            <xdr:cNvPr id="151" name="CaixaDeTexto 150">
              <a:extLst>
                <a:ext uri="{FF2B5EF4-FFF2-40B4-BE49-F238E27FC236}">
                  <a16:creationId xmlns:a16="http://schemas.microsoft.com/office/drawing/2014/main" id="{00000000-0008-0000-0000-000097000000}"/>
                </a:ext>
              </a:extLst>
            </xdr:cNvPr>
            <xdr:cNvSpPr txBox="1"/>
          </xdr:nvSpPr>
          <xdr:spPr>
            <a:xfrm>
              <a:off x="12100761" y="30327349"/>
              <a:ext cx="528638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Coxa</a:t>
              </a:r>
            </a:p>
          </xdr:txBody>
        </xdr:sp>
        <xdr:sp macro="" textlink="">
          <xdr:nvSpPr>
            <xdr:cNvPr id="153" name="CaixaDeTexto 152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SpPr txBox="1"/>
          </xdr:nvSpPr>
          <xdr:spPr>
            <a:xfrm>
              <a:off x="14331991" y="29274836"/>
              <a:ext cx="631016" cy="2056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Tríceps</a:t>
              </a:r>
            </a:p>
          </xdr:txBody>
        </xdr:sp>
        <xdr:sp macro="" textlink="">
          <xdr:nvSpPr>
            <xdr:cNvPr id="154" name="CaixaDeTexto 153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SpPr txBox="1"/>
          </xdr:nvSpPr>
          <xdr:spPr>
            <a:xfrm>
              <a:off x="14081961" y="28900980"/>
              <a:ext cx="953943" cy="2628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Subescapular</a:t>
              </a:r>
            </a:p>
          </xdr:txBody>
        </xdr:sp>
        <xdr:sp macro="" textlink="">
          <xdr:nvSpPr>
            <xdr:cNvPr id="155" name="CaixaDeTexto 154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SpPr txBox="1"/>
          </xdr:nvSpPr>
          <xdr:spPr>
            <a:xfrm rot="17626162">
              <a:off x="11849474" y="29464643"/>
              <a:ext cx="802469" cy="3413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Supra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ilíaca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56" name="Conector de seta reta 44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CxnSpPr>
              <a:stCxn id="154" idx="2"/>
            </xdr:cNvCxnSpPr>
          </xdr:nvCxnSpPr>
          <xdr:spPr>
            <a:xfrm flipH="1">
              <a:off x="14158162" y="29163795"/>
              <a:ext cx="400771" cy="42774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57" name="Conector de seta reta 45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CxnSpPr>
              <a:stCxn id="153" idx="2"/>
            </xdr:cNvCxnSpPr>
          </xdr:nvCxnSpPr>
          <xdr:spPr>
            <a:xfrm flipH="1">
              <a:off x="14360568" y="29480504"/>
              <a:ext cx="286932" cy="11103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58" name="Conector de seta reta 47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CxnSpPr>
              <a:stCxn id="151" idx="0"/>
            </xdr:cNvCxnSpPr>
          </xdr:nvCxnSpPr>
          <xdr:spPr>
            <a:xfrm rot="5400000" flipH="1" flipV="1">
              <a:off x="12492476" y="30133277"/>
              <a:ext cx="66676" cy="32146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59" name="Conector de seta reta 49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/>
          </xdr:nvCxnSpPr>
          <xdr:spPr>
            <a:xfrm>
              <a:off x="12369997" y="29758122"/>
              <a:ext cx="313947" cy="13810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60" name="Conector de seta reta 50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CxnSpPr/>
          </xdr:nvCxnSpPr>
          <xdr:spPr>
            <a:xfrm flipH="1">
              <a:off x="12809848" y="29514787"/>
              <a:ext cx="458897" cy="321742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61" name="Conector de seta reta 51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CxnSpPr/>
          </xdr:nvCxnSpPr>
          <xdr:spPr>
            <a:xfrm flipH="1">
              <a:off x="12697251" y="29208160"/>
              <a:ext cx="565561" cy="398401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65" name="Conector de seta reta 52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CxnSpPr/>
          </xdr:nvCxnSpPr>
          <xdr:spPr>
            <a:xfrm>
              <a:off x="12375896" y="29055422"/>
              <a:ext cx="306342" cy="43218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66" name="CaixaDeTexto 165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SpPr txBox="1"/>
          </xdr:nvSpPr>
          <xdr:spPr>
            <a:xfrm>
              <a:off x="13065745" y="28855423"/>
              <a:ext cx="835819" cy="3656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Axilar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média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</xdr:grpSp>
      <xdr:cxnSp macro="">
        <xdr:nvCxnSpPr>
          <xdr:cNvPr id="144" name="Conector de seta reta 47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CxnSpPr/>
        </xdr:nvCxnSpPr>
        <xdr:spPr>
          <a:xfrm flipH="1">
            <a:off x="6088224" y="19508755"/>
            <a:ext cx="575388" cy="202163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5" name="CaixaDeTexto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 txBox="1"/>
        </xdr:nvSpPr>
        <xdr:spPr>
          <a:xfrm>
            <a:off x="6431412" y="19267075"/>
            <a:ext cx="865772" cy="137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Panturrilha</a:t>
            </a:r>
          </a:p>
        </xdr:txBody>
      </xdr:sp>
      <xdr:cxnSp macro="">
        <xdr:nvCxnSpPr>
          <xdr:cNvPr id="146" name="Conector de seta reta 52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CxnSpPr/>
        </xdr:nvCxnSpPr>
        <xdr:spPr>
          <a:xfrm>
            <a:off x="5722776" y="18272449"/>
            <a:ext cx="224279" cy="286285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7" name="CaixaDeTexto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 txBox="1"/>
        </xdr:nvSpPr>
        <xdr:spPr>
          <a:xfrm>
            <a:off x="5249487" y="18100992"/>
            <a:ext cx="786841" cy="23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Bíceps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184</xdr:row>
          <xdr:rowOff>182880</xdr:rowOff>
        </xdr:from>
        <xdr:to>
          <xdr:col>7</xdr:col>
          <xdr:colOff>571500</xdr:colOff>
          <xdr:row>186</xdr:row>
          <xdr:rowOff>53340</xdr:rowOff>
        </xdr:to>
        <xdr:sp macro="" textlink="">
          <xdr:nvSpPr>
            <xdr:cNvPr id="41080" name="Caixa de seleção 112" hidden="1">
              <a:extLst>
                <a:ext uri="{63B3BB69-23CF-44E3-9099-C40C66FF867C}">
                  <a14:compatExt spid="_x0000_s41080"/>
                </a:ext>
                <a:ext uri="{FF2B5EF4-FFF2-40B4-BE49-F238E27FC236}">
                  <a16:creationId xmlns:a16="http://schemas.microsoft.com/office/drawing/2014/main" id="{00000000-0008-0000-0000-00007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190</xdr:row>
          <xdr:rowOff>0</xdr:rowOff>
        </xdr:from>
        <xdr:to>
          <xdr:col>9</xdr:col>
          <xdr:colOff>685800</xdr:colOff>
          <xdr:row>191</xdr:row>
          <xdr:rowOff>53340</xdr:rowOff>
        </xdr:to>
        <xdr:sp macro="" textlink="">
          <xdr:nvSpPr>
            <xdr:cNvPr id="41082" name="Caixa de seleção 112" hidden="1">
              <a:extLst>
                <a:ext uri="{63B3BB69-23CF-44E3-9099-C40C66FF867C}">
                  <a14:compatExt spid="_x0000_s41082"/>
                </a:ext>
                <a:ext uri="{FF2B5EF4-FFF2-40B4-BE49-F238E27FC236}">
                  <a16:creationId xmlns:a16="http://schemas.microsoft.com/office/drawing/2014/main" id="{00000000-0008-0000-0000-00007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7776</xdr:colOff>
      <xdr:row>170</xdr:row>
      <xdr:rowOff>177436</xdr:rowOff>
    </xdr:from>
    <xdr:to>
      <xdr:col>12</xdr:col>
      <xdr:colOff>7774</xdr:colOff>
      <xdr:row>186</xdr:row>
      <xdr:rowOff>72369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2" y="25199028"/>
          <a:ext cx="1189651" cy="219772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170</xdr:row>
      <xdr:rowOff>178837</xdr:rowOff>
    </xdr:from>
    <xdr:to>
      <xdr:col>15</xdr:col>
      <xdr:colOff>15551</xdr:colOff>
      <xdr:row>186</xdr:row>
      <xdr:rowOff>61483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061" y="25200429"/>
          <a:ext cx="1205204" cy="2185441"/>
        </a:xfrm>
        <a:prstGeom prst="rect">
          <a:avLst/>
        </a:prstGeom>
      </xdr:spPr>
    </xdr:pic>
    <xdr:clientData/>
  </xdr:twoCellAnchor>
  <xdr:twoCellAnchor editAs="oneCell">
    <xdr:from>
      <xdr:col>6</xdr:col>
      <xdr:colOff>89728</xdr:colOff>
      <xdr:row>189</xdr:row>
      <xdr:rowOff>4666</xdr:rowOff>
    </xdr:from>
    <xdr:to>
      <xdr:col>8</xdr:col>
      <xdr:colOff>11039</xdr:colOff>
      <xdr:row>204</xdr:row>
      <xdr:rowOff>68792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868" y="27436666"/>
          <a:ext cx="1201471" cy="2144386"/>
        </a:xfrm>
        <a:prstGeom prst="rect">
          <a:avLst/>
        </a:prstGeom>
      </xdr:spPr>
    </xdr:pic>
    <xdr:clientData/>
  </xdr:twoCellAnchor>
  <xdr:twoCellAnchor editAs="oneCell">
    <xdr:from>
      <xdr:col>12</xdr:col>
      <xdr:colOff>180392</xdr:colOff>
      <xdr:row>189</xdr:row>
      <xdr:rowOff>9332</xdr:rowOff>
    </xdr:from>
    <xdr:to>
      <xdr:col>15</xdr:col>
      <xdr:colOff>9331</xdr:colOff>
      <xdr:row>204</xdr:row>
      <xdr:rowOff>73458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841" y="27868985"/>
          <a:ext cx="1205204" cy="218544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199</xdr:row>
          <xdr:rowOff>7620</xdr:rowOff>
        </xdr:from>
        <xdr:to>
          <xdr:col>5</xdr:col>
          <xdr:colOff>708660</xdr:colOff>
          <xdr:row>200</xdr:row>
          <xdr:rowOff>60960</xdr:rowOff>
        </xdr:to>
        <xdr:sp macro="" textlink="">
          <xdr:nvSpPr>
            <xdr:cNvPr id="41087" name="Caixa de seleção 68" hidden="1">
              <a:extLst>
                <a:ext uri="{63B3BB69-23CF-44E3-9099-C40C66FF867C}">
                  <a14:compatExt spid="_x0000_s41087"/>
                </a:ext>
                <a:ext uri="{FF2B5EF4-FFF2-40B4-BE49-F238E27FC236}">
                  <a16:creationId xmlns:a16="http://schemas.microsoft.com/office/drawing/2014/main" id="{00000000-0008-0000-0000-00007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845820</xdr:colOff>
          <xdr:row>211</xdr:row>
          <xdr:rowOff>0</xdr:rowOff>
        </xdr:from>
        <xdr:to>
          <xdr:col>7</xdr:col>
          <xdr:colOff>403860</xdr:colOff>
          <xdr:row>212</xdr:row>
          <xdr:rowOff>60960</xdr:rowOff>
        </xdr:to>
        <xdr:sp macro="" textlink="">
          <xdr:nvSpPr>
            <xdr:cNvPr id="41089" name="Caixa de seleção 82" hidden="1">
              <a:extLst>
                <a:ext uri="{63B3BB69-23CF-44E3-9099-C40C66FF867C}">
                  <a14:compatExt spid="_x0000_s41089"/>
                </a:ext>
                <a:ext uri="{FF2B5EF4-FFF2-40B4-BE49-F238E27FC236}">
                  <a16:creationId xmlns:a16="http://schemas.microsoft.com/office/drawing/2014/main" id="{00000000-0008-0000-0000-00008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Supinado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192</xdr:row>
          <xdr:rowOff>175260</xdr:rowOff>
        </xdr:from>
        <xdr:to>
          <xdr:col>10</xdr:col>
          <xdr:colOff>38100</xdr:colOff>
          <xdr:row>194</xdr:row>
          <xdr:rowOff>68580</xdr:rowOff>
        </xdr:to>
        <xdr:sp macro="" textlink="">
          <xdr:nvSpPr>
            <xdr:cNvPr id="41090" name="Caixa de seleção 99" hidden="1">
              <a:extLst>
                <a:ext uri="{63B3BB69-23CF-44E3-9099-C40C66FF867C}">
                  <a14:compatExt spid="_x0000_s41090"/>
                </a:ext>
                <a:ext uri="{FF2B5EF4-FFF2-40B4-BE49-F238E27FC236}">
                  <a16:creationId xmlns:a16="http://schemas.microsoft.com/office/drawing/2014/main" id="{00000000-0008-0000-0000-00008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192</xdr:row>
          <xdr:rowOff>175260</xdr:rowOff>
        </xdr:from>
        <xdr:to>
          <xdr:col>12</xdr:col>
          <xdr:colOff>144780</xdr:colOff>
          <xdr:row>194</xdr:row>
          <xdr:rowOff>68580</xdr:rowOff>
        </xdr:to>
        <xdr:sp macro="" textlink="">
          <xdr:nvSpPr>
            <xdr:cNvPr id="41091" name="Caixa de seleção 100" hidden="1">
              <a:extLst>
                <a:ext uri="{63B3BB69-23CF-44E3-9099-C40C66FF867C}">
                  <a14:compatExt spid="_x0000_s41091"/>
                </a:ext>
                <a:ext uri="{FF2B5EF4-FFF2-40B4-BE49-F238E27FC236}">
                  <a16:creationId xmlns:a16="http://schemas.microsoft.com/office/drawing/2014/main" id="{00000000-0008-0000-0000-00008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99060</xdr:colOff>
      <xdr:row>103</xdr:row>
      <xdr:rowOff>49530</xdr:rowOff>
    </xdr:from>
    <xdr:to>
      <xdr:col>9</xdr:col>
      <xdr:colOff>982980</xdr:colOff>
      <xdr:row>112</xdr:row>
      <xdr:rowOff>129540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30480</xdr:colOff>
      <xdr:row>103</xdr:row>
      <xdr:rowOff>41910</xdr:rowOff>
    </xdr:from>
    <xdr:to>
      <xdr:col>6</xdr:col>
      <xdr:colOff>83820</xdr:colOff>
      <xdr:row>112</xdr:row>
      <xdr:rowOff>121920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148</xdr:row>
      <xdr:rowOff>142875</xdr:rowOff>
    </xdr:from>
    <xdr:to>
      <xdr:col>3</xdr:col>
      <xdr:colOff>758960</xdr:colOff>
      <xdr:row>153</xdr:row>
      <xdr:rowOff>117180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21494115"/>
          <a:ext cx="587509" cy="88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153</xdr:row>
      <xdr:rowOff>171450</xdr:rowOff>
    </xdr:from>
    <xdr:to>
      <xdr:col>3</xdr:col>
      <xdr:colOff>765729</xdr:colOff>
      <xdr:row>158</xdr:row>
      <xdr:rowOff>116841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1" y="22437090"/>
          <a:ext cx="632378" cy="85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158</xdr:row>
      <xdr:rowOff>142875</xdr:rowOff>
    </xdr:from>
    <xdr:to>
      <xdr:col>3</xdr:col>
      <xdr:colOff>796424</xdr:colOff>
      <xdr:row>162</xdr:row>
      <xdr:rowOff>155036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23322915"/>
          <a:ext cx="682124" cy="7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90736</xdr:colOff>
      <xdr:row>278</xdr:row>
      <xdr:rowOff>100265</xdr:rowOff>
    </xdr:from>
    <xdr:to>
      <xdr:col>5</xdr:col>
      <xdr:colOff>491557</xdr:colOff>
      <xdr:row>284</xdr:row>
      <xdr:rowOff>73272</xdr:rowOff>
    </xdr:to>
    <xdr:pic>
      <xdr:nvPicPr>
        <xdr:cNvPr id="5" name="Imagem 61" descr="flexao de braço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16" y="42688445"/>
          <a:ext cx="1589541" cy="1093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80213</xdr:colOff>
      <xdr:row>269</xdr:row>
      <xdr:rowOff>160417</xdr:rowOff>
    </xdr:from>
    <xdr:to>
      <xdr:col>5</xdr:col>
      <xdr:colOff>879141</xdr:colOff>
      <xdr:row>275</xdr:row>
      <xdr:rowOff>73165</xdr:rowOff>
    </xdr:to>
    <xdr:pic>
      <xdr:nvPicPr>
        <xdr:cNvPr id="6" name="Imagem 62" descr="abdominal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7"/>
        <a:stretch/>
      </xdr:blipFill>
      <xdr:spPr bwMode="auto">
        <a:xfrm>
          <a:off x="545033" y="41079817"/>
          <a:ext cx="2086708" cy="103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90639</xdr:colOff>
      <xdr:row>82</xdr:row>
      <xdr:rowOff>58556</xdr:rowOff>
    </xdr:from>
    <xdr:to>
      <xdr:col>15</xdr:col>
      <xdr:colOff>8020</xdr:colOff>
      <xdr:row>96</xdr:row>
      <xdr:rowOff>81016</xdr:rowOff>
    </xdr:to>
    <xdr:grpSp>
      <xdr:nvGrpSpPr>
        <xdr:cNvPr id="7" name="Grupo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6903117" y="14241652"/>
          <a:ext cx="1338461" cy="2682532"/>
          <a:chOff x="8091237" y="5313948"/>
          <a:chExt cx="1843521" cy="3157970"/>
        </a:xfrm>
      </xdr:grpSpPr>
      <xdr:grpSp>
        <xdr:nvGrpSpPr>
          <xdr:cNvPr id="8" name="Grupo 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GrpSpPr/>
        </xdr:nvGrpSpPr>
        <xdr:grpSpPr>
          <a:xfrm>
            <a:off x="8091237" y="5313948"/>
            <a:ext cx="1843521" cy="3157970"/>
            <a:chOff x="8813132" y="5514474"/>
            <a:chExt cx="1843521" cy="3157970"/>
          </a:xfrm>
        </xdr:grpSpPr>
        <xdr:pic>
          <xdr:nvPicPr>
            <xdr:cNvPr id="11" name="Imagem 1" descr="masculino_frente.jpg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13132" y="5514474"/>
              <a:ext cx="1843521" cy="31579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" name="Seta para a esquerda e para a direita 114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SpPr/>
          </xdr:nvSpPr>
          <xdr:spPr>
            <a:xfrm>
              <a:off x="9439185" y="7016827"/>
              <a:ext cx="648565" cy="95250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3" name="Seta para a esquerda e para a direita 115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/>
          </xdr:nvSpPr>
          <xdr:spPr>
            <a:xfrm>
              <a:off x="9490273" y="6217592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4" name="Seta para a esquerda e para a direita 116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>
              <a:off x="9490273" y="6508358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5" name="Seta para a esquerda e para a direita 117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/>
          </xdr:nvSpPr>
          <xdr:spPr>
            <a:xfrm rot="19807583">
              <a:off x="10149931" y="663444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6" name="Seta para a esquerda e para a direita 118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/>
          </xdr:nvSpPr>
          <xdr:spPr>
            <a:xfrm rot="19807583">
              <a:off x="10041837" y="639439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7" name="Seta para a esquerda e para a direita 119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/>
          </xdr:nvSpPr>
          <xdr:spPr>
            <a:xfrm rot="1606633">
              <a:off x="9189784" y="6624919"/>
              <a:ext cx="196781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8" name="Seta para a esquerda e para a direita 120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 rot="1606633">
              <a:off x="9282932" y="6404880"/>
              <a:ext cx="191819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9" name="Seta para a esquerda e para a direita 121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/>
          </xdr:nvSpPr>
          <xdr:spPr>
            <a:xfrm>
              <a:off x="9410037" y="7305356"/>
              <a:ext cx="341801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0" name="Seta para a esquerda e para a direita 122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/>
          </xdr:nvSpPr>
          <xdr:spPr>
            <a:xfrm>
              <a:off x="9797108" y="7302573"/>
              <a:ext cx="336838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1" name="Seta para a esquerda e para a direita 123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/>
          </xdr:nvSpPr>
          <xdr:spPr>
            <a:xfrm>
              <a:off x="9951258" y="7919450"/>
              <a:ext cx="256464" cy="8582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2" name="Seta para a esquerda e para a direita 124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/>
          </xdr:nvSpPr>
          <xdr:spPr>
            <a:xfrm>
              <a:off x="9387385" y="7941282"/>
              <a:ext cx="256465" cy="87967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3" name="Heptágono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/>
          </xdr:nvSpPr>
          <xdr:spPr>
            <a:xfrm>
              <a:off x="9661723" y="6198542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1000"/>
                <a:t>2</a:t>
              </a:r>
            </a:p>
          </xdr:txBody>
        </xdr:sp>
        <xdr:sp macro="" textlink="">
          <xdr:nvSpPr>
            <xdr:cNvPr id="24" name="Heptágono 23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/>
          </xdr:nvSpPr>
          <xdr:spPr>
            <a:xfrm>
              <a:off x="9661723" y="6479783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3</a:t>
              </a:r>
            </a:p>
          </xdr:txBody>
        </xdr:sp>
        <xdr:sp macro="" textlink="">
          <xdr:nvSpPr>
            <xdr:cNvPr id="25" name="Heptágono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/>
          </xdr:nvSpPr>
          <xdr:spPr>
            <a:xfrm>
              <a:off x="9661723" y="6988251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5</a:t>
              </a:r>
            </a:p>
          </xdr:txBody>
        </xdr:sp>
        <xdr:sp macro="" textlink="">
          <xdr:nvSpPr>
            <xdr:cNvPr id="26" name="Heptágono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/>
          </xdr:nvSpPr>
          <xdr:spPr>
            <a:xfrm>
              <a:off x="9661723" y="7263610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800"/>
                <a:t>8</a:t>
              </a:r>
            </a:p>
          </xdr:txBody>
        </xdr:sp>
        <xdr:sp macro="" textlink="">
          <xdr:nvSpPr>
            <xdr:cNvPr id="27" name="Heptágono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/>
          </xdr:nvSpPr>
          <xdr:spPr>
            <a:xfrm>
              <a:off x="9690298" y="7901785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9</a:t>
              </a:r>
            </a:p>
          </xdr:txBody>
        </xdr:sp>
        <xdr:sp macro="" textlink="">
          <xdr:nvSpPr>
            <xdr:cNvPr id="28" name="Heptágono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/>
          </xdr:nvSpPr>
          <xdr:spPr>
            <a:xfrm>
              <a:off x="9060481" y="6293158"/>
              <a:ext cx="213515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6</a:t>
              </a:r>
            </a:p>
          </xdr:txBody>
        </xdr:sp>
        <xdr:sp macro="" textlink="">
          <xdr:nvSpPr>
            <xdr:cNvPr id="29" name="Heptágono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8946482" y="65128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7</a:t>
              </a:r>
            </a:p>
          </xdr:txBody>
        </xdr:sp>
        <xdr:sp macro="" textlink="">
          <xdr:nvSpPr>
            <xdr:cNvPr id="30" name="Seta para a esquerda e para a direita 13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/>
          </xdr:nvSpPr>
          <xdr:spPr>
            <a:xfrm>
              <a:off x="9353461" y="6084242"/>
              <a:ext cx="810490" cy="11429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31" name="Heptágono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/>
          </xdr:nvSpPr>
          <xdr:spPr>
            <a:xfrm>
              <a:off x="9121396" y="60556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1</a:t>
              </a:r>
            </a:p>
          </xdr:txBody>
        </xdr:sp>
      </xdr:grpSp>
      <xdr:sp macro="" textlink="">
        <xdr:nvSpPr>
          <xdr:cNvPr id="9" name="Seta para a esquerda e para a direita 141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8773027" y="6515601"/>
            <a:ext cx="530802" cy="95249"/>
          </a:xfrm>
          <a:prstGeom prst="leftRightArrow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10" name="Heptágon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8944477" y="6487026"/>
            <a:ext cx="213516" cy="142875"/>
          </a:xfrm>
          <a:prstGeom prst="heptagon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r>
              <a:rPr lang="en-US" sz="900"/>
              <a:t>4</a:t>
            </a:r>
          </a:p>
        </xdr:txBody>
      </xdr:sp>
    </xdr:grpSp>
    <xdr:clientData/>
  </xdr:twoCellAnchor>
  <xdr:twoCellAnchor editAs="oneCell">
    <xdr:from>
      <xdr:col>4</xdr:col>
      <xdr:colOff>160421</xdr:colOff>
      <xdr:row>218</xdr:row>
      <xdr:rowOff>168444</xdr:rowOff>
    </xdr:from>
    <xdr:to>
      <xdr:col>13</xdr:col>
      <xdr:colOff>40907</xdr:colOff>
      <xdr:row>263</xdr:row>
      <xdr:rowOff>187304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5771" t="15378" r="38039" b="20225"/>
        <a:stretch/>
      </xdr:blipFill>
      <xdr:spPr>
        <a:xfrm>
          <a:off x="1730141" y="31570464"/>
          <a:ext cx="5062086" cy="84313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18</xdr:row>
          <xdr:rowOff>91440</xdr:rowOff>
        </xdr:from>
        <xdr:to>
          <xdr:col>3</xdr:col>
          <xdr:colOff>975360</xdr:colOff>
          <xdr:row>20</xdr:row>
          <xdr:rowOff>0</xdr:rowOff>
        </xdr:to>
        <xdr:sp macro="" textlink="">
          <xdr:nvSpPr>
            <xdr:cNvPr id="44033" name="Caixa de seleção 2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1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Hipertrofia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91440</xdr:rowOff>
        </xdr:from>
        <xdr:to>
          <xdr:col>5</xdr:col>
          <xdr:colOff>731520</xdr:colOff>
          <xdr:row>20</xdr:row>
          <xdr:rowOff>0</xdr:rowOff>
        </xdr:to>
        <xdr:sp macro="" textlink="">
          <xdr:nvSpPr>
            <xdr:cNvPr id="44034" name="Caixa de seleção 3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1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18</xdr:row>
          <xdr:rowOff>91440</xdr:rowOff>
        </xdr:from>
        <xdr:to>
          <xdr:col>9</xdr:col>
          <xdr:colOff>1089660</xdr:colOff>
          <xdr:row>20</xdr:row>
          <xdr:rowOff>0</xdr:rowOff>
        </xdr:to>
        <xdr:sp macro="" textlink="">
          <xdr:nvSpPr>
            <xdr:cNvPr id="44035" name="Caixa de seleção 4" hidden="1">
              <a:extLst>
                <a:ext uri="{63B3BB69-23CF-44E3-9099-C40C66FF867C}">
                  <a14:compatExt spid="_x0000_s46083"/>
                </a:ext>
                <a:ext uri="{FF2B5EF4-FFF2-40B4-BE49-F238E27FC236}">
                  <a16:creationId xmlns:a16="http://schemas.microsoft.com/office/drawing/2014/main" id="{00000000-0008-0000-01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Saúde/ Bem estar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91440</xdr:rowOff>
        </xdr:from>
        <xdr:to>
          <xdr:col>7</xdr:col>
          <xdr:colOff>990600</xdr:colOff>
          <xdr:row>20</xdr:row>
          <xdr:rowOff>0</xdr:rowOff>
        </xdr:to>
        <xdr:sp macro="" textlink="">
          <xdr:nvSpPr>
            <xdr:cNvPr id="44036" name="Caixa de seleção 5" hidden="1">
              <a:extLst>
                <a:ext uri="{63B3BB69-23CF-44E3-9099-C40C66FF867C}">
                  <a14:compatExt spid="_x0000_s46084"/>
                </a:ext>
                <a:ext uri="{FF2B5EF4-FFF2-40B4-BE49-F238E27FC236}">
                  <a16:creationId xmlns:a16="http://schemas.microsoft.com/office/drawing/2014/main" id="{00000000-0008-0000-01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Definição Muscular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18</xdr:row>
          <xdr:rowOff>91440</xdr:rowOff>
        </xdr:from>
        <xdr:to>
          <xdr:col>12</xdr:col>
          <xdr:colOff>60960</xdr:colOff>
          <xdr:row>20</xdr:row>
          <xdr:rowOff>0</xdr:rowOff>
        </xdr:to>
        <xdr:sp macro="" textlink="">
          <xdr:nvSpPr>
            <xdr:cNvPr id="44037" name="Caixa de seleção 6" hidden="1">
              <a:extLst>
                <a:ext uri="{63B3BB69-23CF-44E3-9099-C40C66FF867C}">
                  <a14:compatExt spid="_x0000_s46085"/>
                </a:ext>
                <a:ext uri="{FF2B5EF4-FFF2-40B4-BE49-F238E27FC236}">
                  <a16:creationId xmlns:a16="http://schemas.microsoft.com/office/drawing/2014/main" id="{00000000-0008-0000-01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Emagrecimento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</xdr:colOff>
          <xdr:row>18</xdr:row>
          <xdr:rowOff>83820</xdr:rowOff>
        </xdr:from>
        <xdr:to>
          <xdr:col>14</xdr:col>
          <xdr:colOff>106680</xdr:colOff>
          <xdr:row>20</xdr:row>
          <xdr:rowOff>0</xdr:rowOff>
        </xdr:to>
        <xdr:sp macro="" textlink="">
          <xdr:nvSpPr>
            <xdr:cNvPr id="44038" name="Caixa de seleção 6" hidden="1">
              <a:extLst>
                <a:ext uri="{63B3BB69-23CF-44E3-9099-C40C66FF867C}">
                  <a14:compatExt spid="_x0000_s46086"/>
                </a:ext>
                <a:ext uri="{FF2B5EF4-FFF2-40B4-BE49-F238E27FC236}">
                  <a16:creationId xmlns:a16="http://schemas.microsoft.com/office/drawing/2014/main" id="{00000000-0008-0000-01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Preparação Física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169</xdr:row>
          <xdr:rowOff>175260</xdr:rowOff>
        </xdr:from>
        <xdr:to>
          <xdr:col>5</xdr:col>
          <xdr:colOff>579120</xdr:colOff>
          <xdr:row>171</xdr:row>
          <xdr:rowOff>38100</xdr:rowOff>
        </xdr:to>
        <xdr:sp macro="" textlink="">
          <xdr:nvSpPr>
            <xdr:cNvPr id="44039" name="Caixa de seleção 42" hidden="1">
              <a:extLst>
                <a:ext uri="{63B3BB69-23CF-44E3-9099-C40C66FF867C}">
                  <a14:compatExt spid="_x0000_s46087"/>
                </a:ext>
                <a:ext uri="{FF2B5EF4-FFF2-40B4-BE49-F238E27FC236}">
                  <a16:creationId xmlns:a16="http://schemas.microsoft.com/office/drawing/2014/main" id="{00000000-0008-0000-01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169</xdr:row>
          <xdr:rowOff>175260</xdr:rowOff>
        </xdr:from>
        <xdr:to>
          <xdr:col>7</xdr:col>
          <xdr:colOff>579120</xdr:colOff>
          <xdr:row>171</xdr:row>
          <xdr:rowOff>38100</xdr:rowOff>
        </xdr:to>
        <xdr:sp macro="" textlink="">
          <xdr:nvSpPr>
            <xdr:cNvPr id="44040" name="Caixa de seleção 44" hidden="1">
              <a:extLst>
                <a:ext uri="{63B3BB69-23CF-44E3-9099-C40C66FF867C}">
                  <a14:compatExt spid="_x0000_s46088"/>
                </a:ext>
                <a:ext uri="{FF2B5EF4-FFF2-40B4-BE49-F238E27FC236}">
                  <a16:creationId xmlns:a16="http://schemas.microsoft.com/office/drawing/2014/main" id="{00000000-0008-0000-01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169</xdr:row>
          <xdr:rowOff>175260</xdr:rowOff>
        </xdr:from>
        <xdr:to>
          <xdr:col>9</xdr:col>
          <xdr:colOff>579120</xdr:colOff>
          <xdr:row>171</xdr:row>
          <xdr:rowOff>38100</xdr:rowOff>
        </xdr:to>
        <xdr:sp macro="" textlink="">
          <xdr:nvSpPr>
            <xdr:cNvPr id="44041" name="Caixa de seleção 45" hidden="1">
              <a:extLst>
                <a:ext uri="{63B3BB69-23CF-44E3-9099-C40C66FF867C}">
                  <a14:compatExt spid="_x0000_s46089"/>
                </a:ext>
                <a:ext uri="{FF2B5EF4-FFF2-40B4-BE49-F238E27FC236}">
                  <a16:creationId xmlns:a16="http://schemas.microsoft.com/office/drawing/2014/main" id="{00000000-0008-0000-01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Diminuida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171</xdr:row>
          <xdr:rowOff>68580</xdr:rowOff>
        </xdr:from>
        <xdr:to>
          <xdr:col>5</xdr:col>
          <xdr:colOff>609600</xdr:colOff>
          <xdr:row>173</xdr:row>
          <xdr:rowOff>38100</xdr:rowOff>
        </xdr:to>
        <xdr:sp macro="" textlink="">
          <xdr:nvSpPr>
            <xdr:cNvPr id="44042" name="Caixa de seleção 47" hidden="1">
              <a:extLst>
                <a:ext uri="{63B3BB69-23CF-44E3-9099-C40C66FF867C}">
                  <a14:compatExt spid="_x0000_s46090"/>
                </a:ext>
                <a:ext uri="{FF2B5EF4-FFF2-40B4-BE49-F238E27FC236}">
                  <a16:creationId xmlns:a16="http://schemas.microsoft.com/office/drawing/2014/main" id="{00000000-0008-0000-01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171</xdr:row>
          <xdr:rowOff>68580</xdr:rowOff>
        </xdr:from>
        <xdr:to>
          <xdr:col>7</xdr:col>
          <xdr:colOff>563880</xdr:colOff>
          <xdr:row>173</xdr:row>
          <xdr:rowOff>38100</xdr:rowOff>
        </xdr:to>
        <xdr:sp macro="" textlink="">
          <xdr:nvSpPr>
            <xdr:cNvPr id="44043" name="Caixa de seleção 48" hidden="1">
              <a:extLst>
                <a:ext uri="{63B3BB69-23CF-44E3-9099-C40C66FF867C}">
                  <a14:compatExt spid="_x0000_s46091"/>
                </a:ext>
                <a:ext uri="{FF2B5EF4-FFF2-40B4-BE49-F238E27FC236}">
                  <a16:creationId xmlns:a16="http://schemas.microsoft.com/office/drawing/2014/main" id="{00000000-0008-0000-01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171</xdr:row>
          <xdr:rowOff>68580</xdr:rowOff>
        </xdr:from>
        <xdr:to>
          <xdr:col>9</xdr:col>
          <xdr:colOff>899160</xdr:colOff>
          <xdr:row>173</xdr:row>
          <xdr:rowOff>38100</xdr:rowOff>
        </xdr:to>
        <xdr:sp macro="" textlink="">
          <xdr:nvSpPr>
            <xdr:cNvPr id="44044" name="Caixa de seleção 49" hidden="1">
              <a:extLst>
                <a:ext uri="{63B3BB69-23CF-44E3-9099-C40C66FF867C}">
                  <a14:compatExt spid="_x0000_s46092"/>
                </a:ext>
                <a:ext uri="{FF2B5EF4-FFF2-40B4-BE49-F238E27FC236}">
                  <a16:creationId xmlns:a16="http://schemas.microsoft.com/office/drawing/2014/main" id="{00000000-0008-0000-01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Rotação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175</xdr:row>
          <xdr:rowOff>76200</xdr:rowOff>
        </xdr:from>
        <xdr:to>
          <xdr:col>5</xdr:col>
          <xdr:colOff>579120</xdr:colOff>
          <xdr:row>177</xdr:row>
          <xdr:rowOff>45720</xdr:rowOff>
        </xdr:to>
        <xdr:sp macro="" textlink="">
          <xdr:nvSpPr>
            <xdr:cNvPr id="44045" name="Caixa de seleção 50" hidden="1">
              <a:extLst>
                <a:ext uri="{63B3BB69-23CF-44E3-9099-C40C66FF867C}">
                  <a14:compatExt spid="_x0000_s46093"/>
                </a:ext>
                <a:ext uri="{FF2B5EF4-FFF2-40B4-BE49-F238E27FC236}">
                  <a16:creationId xmlns:a16="http://schemas.microsoft.com/office/drawing/2014/main" id="{00000000-0008-0000-01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175</xdr:row>
          <xdr:rowOff>76200</xdr:rowOff>
        </xdr:from>
        <xdr:to>
          <xdr:col>7</xdr:col>
          <xdr:colOff>579120</xdr:colOff>
          <xdr:row>177</xdr:row>
          <xdr:rowOff>45720</xdr:rowOff>
        </xdr:to>
        <xdr:sp macro="" textlink="">
          <xdr:nvSpPr>
            <xdr:cNvPr id="44046" name="Caixa de seleção 51" hidden="1">
              <a:extLst>
                <a:ext uri="{63B3BB69-23CF-44E3-9099-C40C66FF867C}">
                  <a14:compatExt spid="_x0000_s46094"/>
                </a:ext>
                <a:ext uri="{FF2B5EF4-FFF2-40B4-BE49-F238E27FC236}">
                  <a16:creationId xmlns:a16="http://schemas.microsoft.com/office/drawing/2014/main" id="{00000000-0008-0000-01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175</xdr:row>
          <xdr:rowOff>76200</xdr:rowOff>
        </xdr:from>
        <xdr:to>
          <xdr:col>9</xdr:col>
          <xdr:colOff>579120</xdr:colOff>
          <xdr:row>177</xdr:row>
          <xdr:rowOff>45720</xdr:rowOff>
        </xdr:to>
        <xdr:sp macro="" textlink="">
          <xdr:nvSpPr>
            <xdr:cNvPr id="44047" name="Caixa de seleção 52" hidden="1">
              <a:extLst>
                <a:ext uri="{63B3BB69-23CF-44E3-9099-C40C66FF867C}">
                  <a14:compatExt spid="_x0000_s46095"/>
                </a:ext>
                <a:ext uri="{FF2B5EF4-FFF2-40B4-BE49-F238E27FC236}">
                  <a16:creationId xmlns:a16="http://schemas.microsoft.com/office/drawing/2014/main" id="{00000000-0008-0000-01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177</xdr:row>
          <xdr:rowOff>76200</xdr:rowOff>
        </xdr:from>
        <xdr:to>
          <xdr:col>5</xdr:col>
          <xdr:colOff>579120</xdr:colOff>
          <xdr:row>179</xdr:row>
          <xdr:rowOff>60960</xdr:rowOff>
        </xdr:to>
        <xdr:sp macro="" textlink="">
          <xdr:nvSpPr>
            <xdr:cNvPr id="44048" name="Caixa de seleção 53" hidden="1">
              <a:extLst>
                <a:ext uri="{63B3BB69-23CF-44E3-9099-C40C66FF867C}">
                  <a14:compatExt spid="_x0000_s46096"/>
                </a:ext>
                <a:ext uri="{FF2B5EF4-FFF2-40B4-BE49-F238E27FC236}">
                  <a16:creationId xmlns:a16="http://schemas.microsoft.com/office/drawing/2014/main" id="{00000000-0008-0000-01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Fisioóogica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177</xdr:row>
          <xdr:rowOff>76200</xdr:rowOff>
        </xdr:from>
        <xdr:to>
          <xdr:col>7</xdr:col>
          <xdr:colOff>579120</xdr:colOff>
          <xdr:row>179</xdr:row>
          <xdr:rowOff>60960</xdr:rowOff>
        </xdr:to>
        <xdr:sp macro="" textlink="">
          <xdr:nvSpPr>
            <xdr:cNvPr id="44049" name="Caixa de seleção 54" hidden="1">
              <a:extLst>
                <a:ext uri="{63B3BB69-23CF-44E3-9099-C40C66FF867C}">
                  <a14:compatExt spid="_x0000_s46097"/>
                </a:ext>
                <a:ext uri="{FF2B5EF4-FFF2-40B4-BE49-F238E27FC236}">
                  <a16:creationId xmlns:a16="http://schemas.microsoft.com/office/drawing/2014/main" id="{00000000-0008-0000-01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177</xdr:row>
          <xdr:rowOff>76200</xdr:rowOff>
        </xdr:from>
        <xdr:to>
          <xdr:col>9</xdr:col>
          <xdr:colOff>579120</xdr:colOff>
          <xdr:row>179</xdr:row>
          <xdr:rowOff>60960</xdr:rowOff>
        </xdr:to>
        <xdr:sp macro="" textlink="">
          <xdr:nvSpPr>
            <xdr:cNvPr id="44050" name="Caixa de seleção 55" hidden="1">
              <a:extLst>
                <a:ext uri="{63B3BB69-23CF-44E3-9099-C40C66FF867C}">
                  <a14:compatExt spid="_x0000_s46098"/>
                </a:ext>
                <a:ext uri="{FF2B5EF4-FFF2-40B4-BE49-F238E27FC236}">
                  <a16:creationId xmlns:a16="http://schemas.microsoft.com/office/drawing/2014/main" id="{00000000-0008-0000-01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179</xdr:row>
          <xdr:rowOff>76200</xdr:rowOff>
        </xdr:from>
        <xdr:to>
          <xdr:col>5</xdr:col>
          <xdr:colOff>579120</xdr:colOff>
          <xdr:row>181</xdr:row>
          <xdr:rowOff>22860</xdr:rowOff>
        </xdr:to>
        <xdr:sp macro="" textlink="">
          <xdr:nvSpPr>
            <xdr:cNvPr id="44051" name="Caixa de seleção 59" hidden="1">
              <a:extLst>
                <a:ext uri="{63B3BB69-23CF-44E3-9099-C40C66FF867C}">
                  <a14:compatExt spid="_x0000_s46099"/>
                </a:ext>
                <a:ext uri="{FF2B5EF4-FFF2-40B4-BE49-F238E27FC236}">
                  <a16:creationId xmlns:a16="http://schemas.microsoft.com/office/drawing/2014/main" id="{00000000-0008-0000-01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179</xdr:row>
          <xdr:rowOff>76200</xdr:rowOff>
        </xdr:from>
        <xdr:to>
          <xdr:col>7</xdr:col>
          <xdr:colOff>579120</xdr:colOff>
          <xdr:row>181</xdr:row>
          <xdr:rowOff>22860</xdr:rowOff>
        </xdr:to>
        <xdr:sp macro="" textlink="">
          <xdr:nvSpPr>
            <xdr:cNvPr id="44052" name="Caixa de seleção 60" hidden="1">
              <a:extLst>
                <a:ext uri="{63B3BB69-23CF-44E3-9099-C40C66FF867C}">
                  <a14:compatExt spid="_x0000_s46100"/>
                </a:ext>
                <a:ext uri="{FF2B5EF4-FFF2-40B4-BE49-F238E27FC236}">
                  <a16:creationId xmlns:a16="http://schemas.microsoft.com/office/drawing/2014/main" id="{00000000-0008-0000-01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Anteversão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179</xdr:row>
          <xdr:rowOff>76200</xdr:rowOff>
        </xdr:from>
        <xdr:to>
          <xdr:col>9</xdr:col>
          <xdr:colOff>579120</xdr:colOff>
          <xdr:row>181</xdr:row>
          <xdr:rowOff>22860</xdr:rowOff>
        </xdr:to>
        <xdr:sp macro="" textlink="">
          <xdr:nvSpPr>
            <xdr:cNvPr id="44053" name="Caixa de seleção 61" hidden="1">
              <a:extLst>
                <a:ext uri="{63B3BB69-23CF-44E3-9099-C40C66FF867C}">
                  <a14:compatExt spid="_x0000_s46101"/>
                </a:ext>
                <a:ext uri="{FF2B5EF4-FFF2-40B4-BE49-F238E27FC236}">
                  <a16:creationId xmlns:a16="http://schemas.microsoft.com/office/drawing/2014/main" id="{00000000-0008-0000-01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Retroversão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181</xdr:row>
          <xdr:rowOff>76200</xdr:rowOff>
        </xdr:from>
        <xdr:to>
          <xdr:col>5</xdr:col>
          <xdr:colOff>579120</xdr:colOff>
          <xdr:row>183</xdr:row>
          <xdr:rowOff>38100</xdr:rowOff>
        </xdr:to>
        <xdr:sp macro="" textlink="">
          <xdr:nvSpPr>
            <xdr:cNvPr id="44054" name="Caixa de seleção 62" hidden="1">
              <a:extLst>
                <a:ext uri="{63B3BB69-23CF-44E3-9099-C40C66FF867C}">
                  <a14:compatExt spid="_x0000_s46102"/>
                </a:ext>
                <a:ext uri="{FF2B5EF4-FFF2-40B4-BE49-F238E27FC236}">
                  <a16:creationId xmlns:a16="http://schemas.microsoft.com/office/drawing/2014/main" id="{00000000-0008-0000-01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181</xdr:row>
          <xdr:rowOff>76200</xdr:rowOff>
        </xdr:from>
        <xdr:to>
          <xdr:col>7</xdr:col>
          <xdr:colOff>579120</xdr:colOff>
          <xdr:row>183</xdr:row>
          <xdr:rowOff>38100</xdr:rowOff>
        </xdr:to>
        <xdr:sp macro="" textlink="">
          <xdr:nvSpPr>
            <xdr:cNvPr id="44055" name="Caixa de seleção 63" hidden="1">
              <a:extLst>
                <a:ext uri="{63B3BB69-23CF-44E3-9099-C40C66FF867C}">
                  <a14:compatExt spid="_x0000_s46103"/>
                </a:ext>
                <a:ext uri="{FF2B5EF4-FFF2-40B4-BE49-F238E27FC236}">
                  <a16:creationId xmlns:a16="http://schemas.microsoft.com/office/drawing/2014/main" id="{00000000-0008-0000-01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Recurvatum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181</xdr:row>
          <xdr:rowOff>76200</xdr:rowOff>
        </xdr:from>
        <xdr:to>
          <xdr:col>9</xdr:col>
          <xdr:colOff>579120</xdr:colOff>
          <xdr:row>183</xdr:row>
          <xdr:rowOff>38100</xdr:rowOff>
        </xdr:to>
        <xdr:sp macro="" textlink="">
          <xdr:nvSpPr>
            <xdr:cNvPr id="44056" name="Caixa de seleção 64" hidden="1">
              <a:extLst>
                <a:ext uri="{63B3BB69-23CF-44E3-9099-C40C66FF867C}">
                  <a14:compatExt spid="_x0000_s46104"/>
                </a:ext>
                <a:ext uri="{FF2B5EF4-FFF2-40B4-BE49-F238E27FC236}">
                  <a16:creationId xmlns:a16="http://schemas.microsoft.com/office/drawing/2014/main" id="{00000000-0008-0000-01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Flexo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173</xdr:row>
          <xdr:rowOff>68580</xdr:rowOff>
        </xdr:from>
        <xdr:to>
          <xdr:col>5</xdr:col>
          <xdr:colOff>579120</xdr:colOff>
          <xdr:row>175</xdr:row>
          <xdr:rowOff>45720</xdr:rowOff>
        </xdr:to>
        <xdr:sp macro="" textlink="">
          <xdr:nvSpPr>
            <xdr:cNvPr id="44057" name="Caixa de seleção 107" hidden="1">
              <a:extLst>
                <a:ext uri="{63B3BB69-23CF-44E3-9099-C40C66FF867C}">
                  <a14:compatExt spid="_x0000_s46105"/>
                </a:ext>
                <a:ext uri="{FF2B5EF4-FFF2-40B4-BE49-F238E27FC236}">
                  <a16:creationId xmlns:a16="http://schemas.microsoft.com/office/drawing/2014/main" id="{00000000-0008-0000-01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173</xdr:row>
          <xdr:rowOff>68580</xdr:rowOff>
        </xdr:from>
        <xdr:to>
          <xdr:col>7</xdr:col>
          <xdr:colOff>563880</xdr:colOff>
          <xdr:row>175</xdr:row>
          <xdr:rowOff>45720</xdr:rowOff>
        </xdr:to>
        <xdr:sp macro="" textlink="">
          <xdr:nvSpPr>
            <xdr:cNvPr id="44058" name="Caixa de seleção 108" hidden="1">
              <a:extLst>
                <a:ext uri="{63B3BB69-23CF-44E3-9099-C40C66FF867C}">
                  <a14:compatExt spid="_x0000_s46106"/>
                </a:ext>
                <a:ext uri="{FF2B5EF4-FFF2-40B4-BE49-F238E27FC236}">
                  <a16:creationId xmlns:a16="http://schemas.microsoft.com/office/drawing/2014/main" id="{00000000-0008-0000-01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183</xdr:row>
          <xdr:rowOff>76200</xdr:rowOff>
        </xdr:from>
        <xdr:to>
          <xdr:col>7</xdr:col>
          <xdr:colOff>594360</xdr:colOff>
          <xdr:row>185</xdr:row>
          <xdr:rowOff>60960</xdr:rowOff>
        </xdr:to>
        <xdr:sp macro="" textlink="">
          <xdr:nvSpPr>
            <xdr:cNvPr id="44059" name="Caixa de seleção 109" hidden="1">
              <a:extLst>
                <a:ext uri="{63B3BB69-23CF-44E3-9099-C40C66FF867C}">
                  <a14:compatExt spid="_x0000_s46107"/>
                </a:ext>
                <a:ext uri="{FF2B5EF4-FFF2-40B4-BE49-F238E27FC236}">
                  <a16:creationId xmlns:a16="http://schemas.microsoft.com/office/drawing/2014/main" id="{00000000-0008-0000-01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183</xdr:row>
          <xdr:rowOff>76200</xdr:rowOff>
        </xdr:from>
        <xdr:to>
          <xdr:col>5</xdr:col>
          <xdr:colOff>579120</xdr:colOff>
          <xdr:row>185</xdr:row>
          <xdr:rowOff>60960</xdr:rowOff>
        </xdr:to>
        <xdr:sp macro="" textlink="">
          <xdr:nvSpPr>
            <xdr:cNvPr id="44060" name="Caixa de seleção 110" hidden="1">
              <a:extLst>
                <a:ext uri="{63B3BB69-23CF-44E3-9099-C40C66FF867C}">
                  <a14:compatExt spid="_x0000_s46108"/>
                </a:ext>
                <a:ext uri="{FF2B5EF4-FFF2-40B4-BE49-F238E27FC236}">
                  <a16:creationId xmlns:a16="http://schemas.microsoft.com/office/drawing/2014/main" id="{00000000-0008-0000-01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183</xdr:row>
          <xdr:rowOff>76200</xdr:rowOff>
        </xdr:from>
        <xdr:to>
          <xdr:col>9</xdr:col>
          <xdr:colOff>579120</xdr:colOff>
          <xdr:row>185</xdr:row>
          <xdr:rowOff>45720</xdr:rowOff>
        </xdr:to>
        <xdr:sp macro="" textlink="">
          <xdr:nvSpPr>
            <xdr:cNvPr id="44061" name="Caixa de seleção 111" hidden="1">
              <a:extLst>
                <a:ext uri="{63B3BB69-23CF-44E3-9099-C40C66FF867C}">
                  <a14:compatExt spid="_x0000_s46109"/>
                </a:ext>
                <a:ext uri="{FF2B5EF4-FFF2-40B4-BE49-F238E27FC236}">
                  <a16:creationId xmlns:a16="http://schemas.microsoft.com/office/drawing/2014/main" id="{00000000-0008-0000-01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Calcâneo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184</xdr:row>
          <xdr:rowOff>182880</xdr:rowOff>
        </xdr:from>
        <xdr:to>
          <xdr:col>5</xdr:col>
          <xdr:colOff>571500</xdr:colOff>
          <xdr:row>186</xdr:row>
          <xdr:rowOff>60960</xdr:rowOff>
        </xdr:to>
        <xdr:sp macro="" textlink="">
          <xdr:nvSpPr>
            <xdr:cNvPr id="44062" name="Caixa de seleção 112" hidden="1">
              <a:extLst>
                <a:ext uri="{63B3BB69-23CF-44E3-9099-C40C66FF867C}">
                  <a14:compatExt spid="_x0000_s46110"/>
                </a:ext>
                <a:ext uri="{FF2B5EF4-FFF2-40B4-BE49-F238E27FC236}">
                  <a16:creationId xmlns:a16="http://schemas.microsoft.com/office/drawing/2014/main" id="{00000000-0008-0000-01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Equino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199</xdr:row>
          <xdr:rowOff>7620</xdr:rowOff>
        </xdr:from>
        <xdr:to>
          <xdr:col>3</xdr:col>
          <xdr:colOff>723900</xdr:colOff>
          <xdr:row>200</xdr:row>
          <xdr:rowOff>60960</xdr:rowOff>
        </xdr:to>
        <xdr:sp macro="" textlink="">
          <xdr:nvSpPr>
            <xdr:cNvPr id="44063" name="Caixa de seleção 46" hidden="1">
              <a:extLst>
                <a:ext uri="{63B3BB69-23CF-44E3-9099-C40C66FF867C}">
                  <a14:compatExt spid="_x0000_s46111"/>
                </a:ext>
                <a:ext uri="{FF2B5EF4-FFF2-40B4-BE49-F238E27FC236}">
                  <a16:creationId xmlns:a16="http://schemas.microsoft.com/office/drawing/2014/main" id="{00000000-0008-0000-01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Em "S"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190</xdr:row>
          <xdr:rowOff>7620</xdr:rowOff>
        </xdr:from>
        <xdr:to>
          <xdr:col>3</xdr:col>
          <xdr:colOff>708660</xdr:colOff>
          <xdr:row>191</xdr:row>
          <xdr:rowOff>60960</xdr:rowOff>
        </xdr:to>
        <xdr:sp macro="" textlink="">
          <xdr:nvSpPr>
            <xdr:cNvPr id="44064" name="Caixa de seleção 65" hidden="1">
              <a:extLst>
                <a:ext uri="{63B3BB69-23CF-44E3-9099-C40C66FF867C}">
                  <a14:compatExt spid="_x0000_s46112"/>
                </a:ext>
                <a:ext uri="{FF2B5EF4-FFF2-40B4-BE49-F238E27FC236}">
                  <a16:creationId xmlns:a16="http://schemas.microsoft.com/office/drawing/2014/main" id="{00000000-0008-0000-01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189</xdr:row>
          <xdr:rowOff>7620</xdr:rowOff>
        </xdr:from>
        <xdr:to>
          <xdr:col>5</xdr:col>
          <xdr:colOff>99060</xdr:colOff>
          <xdr:row>190</xdr:row>
          <xdr:rowOff>60960</xdr:rowOff>
        </xdr:to>
        <xdr:sp macro="" textlink="">
          <xdr:nvSpPr>
            <xdr:cNvPr id="44065" name="Caixa de seleção 66" hidden="1">
              <a:extLst>
                <a:ext uri="{63B3BB69-23CF-44E3-9099-C40C66FF867C}">
                  <a14:compatExt spid="_x0000_s46113"/>
                </a:ext>
                <a:ext uri="{FF2B5EF4-FFF2-40B4-BE49-F238E27FC236}">
                  <a16:creationId xmlns:a16="http://schemas.microsoft.com/office/drawing/2014/main" id="{00000000-0008-0000-01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189</xdr:row>
          <xdr:rowOff>7620</xdr:rowOff>
        </xdr:from>
        <xdr:to>
          <xdr:col>7</xdr:col>
          <xdr:colOff>259080</xdr:colOff>
          <xdr:row>190</xdr:row>
          <xdr:rowOff>60960</xdr:rowOff>
        </xdr:to>
        <xdr:sp macro="" textlink="">
          <xdr:nvSpPr>
            <xdr:cNvPr id="44066" name="Caixa de seleção 67" hidden="1">
              <a:extLst>
                <a:ext uri="{63B3BB69-23CF-44E3-9099-C40C66FF867C}">
                  <a14:compatExt spid="_x0000_s46114"/>
                </a:ext>
                <a:ext uri="{FF2B5EF4-FFF2-40B4-BE49-F238E27FC236}">
                  <a16:creationId xmlns:a16="http://schemas.microsoft.com/office/drawing/2014/main" id="{00000000-0008-0000-01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198</xdr:row>
          <xdr:rowOff>7620</xdr:rowOff>
        </xdr:from>
        <xdr:to>
          <xdr:col>5</xdr:col>
          <xdr:colOff>22860</xdr:colOff>
          <xdr:row>199</xdr:row>
          <xdr:rowOff>60960</xdr:rowOff>
        </xdr:to>
        <xdr:sp macro="" textlink="">
          <xdr:nvSpPr>
            <xdr:cNvPr id="44067" name="Caixa de seleção 69" hidden="1">
              <a:extLst>
                <a:ext uri="{63B3BB69-23CF-44E3-9099-C40C66FF867C}">
                  <a14:compatExt spid="_x0000_s46115"/>
                </a:ext>
                <a:ext uri="{FF2B5EF4-FFF2-40B4-BE49-F238E27FC236}">
                  <a16:creationId xmlns:a16="http://schemas.microsoft.com/office/drawing/2014/main" id="{00000000-0008-0000-01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198</xdr:row>
          <xdr:rowOff>7620</xdr:rowOff>
        </xdr:from>
        <xdr:to>
          <xdr:col>7</xdr:col>
          <xdr:colOff>83820</xdr:colOff>
          <xdr:row>199</xdr:row>
          <xdr:rowOff>60960</xdr:rowOff>
        </xdr:to>
        <xdr:sp macro="" textlink="">
          <xdr:nvSpPr>
            <xdr:cNvPr id="44068" name="Caixa de seleção 70" hidden="1">
              <a:extLst>
                <a:ext uri="{63B3BB69-23CF-44E3-9099-C40C66FF867C}">
                  <a14:compatExt spid="_x0000_s46116"/>
                </a:ext>
                <a:ext uri="{FF2B5EF4-FFF2-40B4-BE49-F238E27FC236}">
                  <a16:creationId xmlns:a16="http://schemas.microsoft.com/office/drawing/2014/main" id="{00000000-0008-0000-01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Torácica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195</xdr:row>
          <xdr:rowOff>7620</xdr:rowOff>
        </xdr:from>
        <xdr:to>
          <xdr:col>3</xdr:col>
          <xdr:colOff>708660</xdr:colOff>
          <xdr:row>196</xdr:row>
          <xdr:rowOff>60960</xdr:rowOff>
        </xdr:to>
        <xdr:sp macro="" textlink="">
          <xdr:nvSpPr>
            <xdr:cNvPr id="44069" name="Caixa de seleção 71" hidden="1">
              <a:extLst>
                <a:ext uri="{63B3BB69-23CF-44E3-9099-C40C66FF867C}">
                  <a14:compatExt spid="_x0000_s46117"/>
                </a:ext>
                <a:ext uri="{FF2B5EF4-FFF2-40B4-BE49-F238E27FC236}">
                  <a16:creationId xmlns:a16="http://schemas.microsoft.com/office/drawing/2014/main" id="{00000000-0008-0000-01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Abduzida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193</xdr:row>
          <xdr:rowOff>7620</xdr:rowOff>
        </xdr:from>
        <xdr:to>
          <xdr:col>4</xdr:col>
          <xdr:colOff>137160</xdr:colOff>
          <xdr:row>194</xdr:row>
          <xdr:rowOff>60960</xdr:rowOff>
        </xdr:to>
        <xdr:sp macro="" textlink="">
          <xdr:nvSpPr>
            <xdr:cNvPr id="44070" name="Caixa de seleção 72" hidden="1">
              <a:extLst>
                <a:ext uri="{63B3BB69-23CF-44E3-9099-C40C66FF867C}">
                  <a14:compatExt spid="_x0000_s46118"/>
                </a:ext>
                <a:ext uri="{FF2B5EF4-FFF2-40B4-BE49-F238E27FC236}">
                  <a16:creationId xmlns:a16="http://schemas.microsoft.com/office/drawing/2014/main" id="{00000000-0008-0000-01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193</xdr:row>
          <xdr:rowOff>7620</xdr:rowOff>
        </xdr:from>
        <xdr:to>
          <xdr:col>5</xdr:col>
          <xdr:colOff>708660</xdr:colOff>
          <xdr:row>194</xdr:row>
          <xdr:rowOff>60960</xdr:rowOff>
        </xdr:to>
        <xdr:sp macro="" textlink="">
          <xdr:nvSpPr>
            <xdr:cNvPr id="44071" name="Caixa de seleção 73" hidden="1">
              <a:extLst>
                <a:ext uri="{63B3BB69-23CF-44E3-9099-C40C66FF867C}">
                  <a14:compatExt spid="_x0000_s46119"/>
                </a:ext>
                <a:ext uri="{FF2B5EF4-FFF2-40B4-BE49-F238E27FC236}">
                  <a16:creationId xmlns:a16="http://schemas.microsoft.com/office/drawing/2014/main" id="{00000000-0008-0000-01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194</xdr:row>
          <xdr:rowOff>7620</xdr:rowOff>
        </xdr:from>
        <xdr:to>
          <xdr:col>3</xdr:col>
          <xdr:colOff>975360</xdr:colOff>
          <xdr:row>195</xdr:row>
          <xdr:rowOff>60960</xdr:rowOff>
        </xdr:to>
        <xdr:sp macro="" textlink="">
          <xdr:nvSpPr>
            <xdr:cNvPr id="44072" name="Caixa de seleção 77" hidden="1">
              <a:extLst>
                <a:ext uri="{63B3BB69-23CF-44E3-9099-C40C66FF867C}">
                  <a14:compatExt spid="_x0000_s46120"/>
                </a:ext>
                <a:ext uri="{FF2B5EF4-FFF2-40B4-BE49-F238E27FC236}">
                  <a16:creationId xmlns:a16="http://schemas.microsoft.com/office/drawing/2014/main" id="{00000000-0008-0000-01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Inferior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194</xdr:row>
          <xdr:rowOff>7620</xdr:rowOff>
        </xdr:from>
        <xdr:to>
          <xdr:col>6</xdr:col>
          <xdr:colOff>99060</xdr:colOff>
          <xdr:row>195</xdr:row>
          <xdr:rowOff>60960</xdr:rowOff>
        </xdr:to>
        <xdr:sp macro="" textlink="">
          <xdr:nvSpPr>
            <xdr:cNvPr id="44073" name="Caixa de seleção 78" hidden="1">
              <a:extLst>
                <a:ext uri="{63B3BB69-23CF-44E3-9099-C40C66FF867C}">
                  <a14:compatExt spid="_x0000_s46121"/>
                </a:ext>
                <a:ext uri="{FF2B5EF4-FFF2-40B4-BE49-F238E27FC236}">
                  <a16:creationId xmlns:a16="http://schemas.microsoft.com/office/drawing/2014/main" id="{00000000-0008-0000-01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Superior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211</xdr:row>
          <xdr:rowOff>0</xdr:rowOff>
        </xdr:from>
        <xdr:to>
          <xdr:col>3</xdr:col>
          <xdr:colOff>708660</xdr:colOff>
          <xdr:row>212</xdr:row>
          <xdr:rowOff>60960</xdr:rowOff>
        </xdr:to>
        <xdr:sp macro="" textlink="">
          <xdr:nvSpPr>
            <xdr:cNvPr id="44074" name="Caixa de seleção 80" hidden="1">
              <a:extLst>
                <a:ext uri="{63B3BB69-23CF-44E3-9099-C40C66FF867C}">
                  <a14:compatExt spid="_x0000_s46122"/>
                </a:ext>
                <a:ext uri="{FF2B5EF4-FFF2-40B4-BE49-F238E27FC236}">
                  <a16:creationId xmlns:a16="http://schemas.microsoft.com/office/drawing/2014/main" id="{00000000-0008-0000-01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211</xdr:row>
          <xdr:rowOff>0</xdr:rowOff>
        </xdr:from>
        <xdr:to>
          <xdr:col>5</xdr:col>
          <xdr:colOff>685800</xdr:colOff>
          <xdr:row>212</xdr:row>
          <xdr:rowOff>60960</xdr:rowOff>
        </xdr:to>
        <xdr:sp macro="" textlink="">
          <xdr:nvSpPr>
            <xdr:cNvPr id="44075" name="Caixa de seleção 81" hidden="1">
              <a:extLst>
                <a:ext uri="{63B3BB69-23CF-44E3-9099-C40C66FF867C}">
                  <a14:compatExt spid="_x0000_s46123"/>
                </a:ext>
                <a:ext uri="{FF2B5EF4-FFF2-40B4-BE49-F238E27FC236}">
                  <a16:creationId xmlns:a16="http://schemas.microsoft.com/office/drawing/2014/main" id="{00000000-0008-0000-01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208</xdr:row>
          <xdr:rowOff>7620</xdr:rowOff>
        </xdr:from>
        <xdr:to>
          <xdr:col>3</xdr:col>
          <xdr:colOff>708660</xdr:colOff>
          <xdr:row>209</xdr:row>
          <xdr:rowOff>60960</xdr:rowOff>
        </xdr:to>
        <xdr:sp macro="" textlink="">
          <xdr:nvSpPr>
            <xdr:cNvPr id="44076" name="Caixa de seleção 83" hidden="1">
              <a:extLst>
                <a:ext uri="{63B3BB69-23CF-44E3-9099-C40C66FF867C}">
                  <a14:compatExt spid="_x0000_s46124"/>
                </a:ext>
                <a:ext uri="{FF2B5EF4-FFF2-40B4-BE49-F238E27FC236}">
                  <a16:creationId xmlns:a16="http://schemas.microsoft.com/office/drawing/2014/main" id="{00000000-0008-0000-01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208</xdr:row>
          <xdr:rowOff>7620</xdr:rowOff>
        </xdr:from>
        <xdr:to>
          <xdr:col>5</xdr:col>
          <xdr:colOff>685800</xdr:colOff>
          <xdr:row>209</xdr:row>
          <xdr:rowOff>60960</xdr:rowOff>
        </xdr:to>
        <xdr:sp macro="" textlink="">
          <xdr:nvSpPr>
            <xdr:cNvPr id="44077" name="Caixa de seleção 84" hidden="1">
              <a:extLst>
                <a:ext uri="{63B3BB69-23CF-44E3-9099-C40C66FF867C}">
                  <a14:compatExt spid="_x0000_s46125"/>
                </a:ext>
                <a:ext uri="{FF2B5EF4-FFF2-40B4-BE49-F238E27FC236}">
                  <a16:creationId xmlns:a16="http://schemas.microsoft.com/office/drawing/2014/main" id="{00000000-0008-0000-01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838200</xdr:colOff>
          <xdr:row>208</xdr:row>
          <xdr:rowOff>15240</xdr:rowOff>
        </xdr:from>
        <xdr:to>
          <xdr:col>7</xdr:col>
          <xdr:colOff>403860</xdr:colOff>
          <xdr:row>209</xdr:row>
          <xdr:rowOff>68580</xdr:rowOff>
        </xdr:to>
        <xdr:sp macro="" textlink="">
          <xdr:nvSpPr>
            <xdr:cNvPr id="44078" name="Caixa de seleção 85" hidden="1">
              <a:extLst>
                <a:ext uri="{63B3BB69-23CF-44E3-9099-C40C66FF867C}">
                  <a14:compatExt spid="_x0000_s46126"/>
                </a:ext>
                <a:ext uri="{FF2B5EF4-FFF2-40B4-BE49-F238E27FC236}">
                  <a16:creationId xmlns:a16="http://schemas.microsoft.com/office/drawing/2014/main" id="{00000000-0008-0000-01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189</xdr:row>
          <xdr:rowOff>7620</xdr:rowOff>
        </xdr:from>
        <xdr:to>
          <xdr:col>9</xdr:col>
          <xdr:colOff>708660</xdr:colOff>
          <xdr:row>190</xdr:row>
          <xdr:rowOff>60960</xdr:rowOff>
        </xdr:to>
        <xdr:sp macro="" textlink="">
          <xdr:nvSpPr>
            <xdr:cNvPr id="44079" name="Caixa de seleção 86" hidden="1">
              <a:extLst>
                <a:ext uri="{63B3BB69-23CF-44E3-9099-C40C66FF867C}">
                  <a14:compatExt spid="_x0000_s46127"/>
                </a:ext>
                <a:ext uri="{FF2B5EF4-FFF2-40B4-BE49-F238E27FC236}">
                  <a16:creationId xmlns:a16="http://schemas.microsoft.com/office/drawing/2014/main" id="{00000000-0008-0000-01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189</xdr:row>
          <xdr:rowOff>7620</xdr:rowOff>
        </xdr:from>
        <xdr:to>
          <xdr:col>11</xdr:col>
          <xdr:colOff>670560</xdr:colOff>
          <xdr:row>190</xdr:row>
          <xdr:rowOff>60960</xdr:rowOff>
        </xdr:to>
        <xdr:sp macro="" textlink="">
          <xdr:nvSpPr>
            <xdr:cNvPr id="44080" name="Caixa de seleção 87" hidden="1">
              <a:extLst>
                <a:ext uri="{63B3BB69-23CF-44E3-9099-C40C66FF867C}">
                  <a14:compatExt spid="_x0000_s46128"/>
                </a:ext>
                <a:ext uri="{FF2B5EF4-FFF2-40B4-BE49-F238E27FC236}">
                  <a16:creationId xmlns:a16="http://schemas.microsoft.com/office/drawing/2014/main" id="{00000000-0008-0000-01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198</xdr:row>
          <xdr:rowOff>167640</xdr:rowOff>
        </xdr:from>
        <xdr:to>
          <xdr:col>9</xdr:col>
          <xdr:colOff>693420</xdr:colOff>
          <xdr:row>200</xdr:row>
          <xdr:rowOff>60960</xdr:rowOff>
        </xdr:to>
        <xdr:sp macro="" textlink="">
          <xdr:nvSpPr>
            <xdr:cNvPr id="44081" name="Caixa de seleção 92" hidden="1">
              <a:extLst>
                <a:ext uri="{63B3BB69-23CF-44E3-9099-C40C66FF867C}">
                  <a14:compatExt spid="_x0000_s46129"/>
                </a:ext>
                <a:ext uri="{FF2B5EF4-FFF2-40B4-BE49-F238E27FC236}">
                  <a16:creationId xmlns:a16="http://schemas.microsoft.com/office/drawing/2014/main" id="{00000000-0008-0000-01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197</xdr:row>
          <xdr:rowOff>175260</xdr:rowOff>
        </xdr:from>
        <xdr:to>
          <xdr:col>9</xdr:col>
          <xdr:colOff>708660</xdr:colOff>
          <xdr:row>199</xdr:row>
          <xdr:rowOff>68580</xdr:rowOff>
        </xdr:to>
        <xdr:sp macro="" textlink="">
          <xdr:nvSpPr>
            <xdr:cNvPr id="44082" name="Caixa de seleção 93" hidden="1">
              <a:extLst>
                <a:ext uri="{63B3BB69-23CF-44E3-9099-C40C66FF867C}">
                  <a14:compatExt spid="_x0000_s46130"/>
                </a:ext>
                <a:ext uri="{FF2B5EF4-FFF2-40B4-BE49-F238E27FC236}">
                  <a16:creationId xmlns:a16="http://schemas.microsoft.com/office/drawing/2014/main" id="{00000000-0008-0000-01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197</xdr:row>
          <xdr:rowOff>175260</xdr:rowOff>
        </xdr:from>
        <xdr:to>
          <xdr:col>11</xdr:col>
          <xdr:colOff>693420</xdr:colOff>
          <xdr:row>199</xdr:row>
          <xdr:rowOff>68580</xdr:rowOff>
        </xdr:to>
        <xdr:sp macro="" textlink="">
          <xdr:nvSpPr>
            <xdr:cNvPr id="44083" name="Caixa de seleção 94" hidden="1">
              <a:extLst>
                <a:ext uri="{63B3BB69-23CF-44E3-9099-C40C66FF867C}">
                  <a14:compatExt spid="_x0000_s46131"/>
                </a:ext>
                <a:ext uri="{FF2B5EF4-FFF2-40B4-BE49-F238E27FC236}">
                  <a16:creationId xmlns:a16="http://schemas.microsoft.com/office/drawing/2014/main" id="{00000000-0008-0000-01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204</xdr:row>
          <xdr:rowOff>175260</xdr:rowOff>
        </xdr:from>
        <xdr:to>
          <xdr:col>9</xdr:col>
          <xdr:colOff>693420</xdr:colOff>
          <xdr:row>206</xdr:row>
          <xdr:rowOff>68580</xdr:rowOff>
        </xdr:to>
        <xdr:sp macro="" textlink="">
          <xdr:nvSpPr>
            <xdr:cNvPr id="44084" name="Caixa de seleção 95" hidden="1">
              <a:extLst>
                <a:ext uri="{63B3BB69-23CF-44E3-9099-C40C66FF867C}">
                  <a14:compatExt spid="_x0000_s46132"/>
                </a:ext>
                <a:ext uri="{FF2B5EF4-FFF2-40B4-BE49-F238E27FC236}">
                  <a16:creationId xmlns:a16="http://schemas.microsoft.com/office/drawing/2014/main" id="{00000000-0008-0000-01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203</xdr:row>
          <xdr:rowOff>175260</xdr:rowOff>
        </xdr:from>
        <xdr:to>
          <xdr:col>9</xdr:col>
          <xdr:colOff>708660</xdr:colOff>
          <xdr:row>205</xdr:row>
          <xdr:rowOff>68580</xdr:rowOff>
        </xdr:to>
        <xdr:sp macro="" textlink="">
          <xdr:nvSpPr>
            <xdr:cNvPr id="44085" name="Caixa de seleção 96" hidden="1">
              <a:extLst>
                <a:ext uri="{63B3BB69-23CF-44E3-9099-C40C66FF867C}">
                  <a14:compatExt spid="_x0000_s46133"/>
                </a:ext>
                <a:ext uri="{FF2B5EF4-FFF2-40B4-BE49-F238E27FC236}">
                  <a16:creationId xmlns:a16="http://schemas.microsoft.com/office/drawing/2014/main" id="{00000000-0008-0000-01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Lateralizada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203</xdr:row>
          <xdr:rowOff>175260</xdr:rowOff>
        </xdr:from>
        <xdr:to>
          <xdr:col>11</xdr:col>
          <xdr:colOff>693420</xdr:colOff>
          <xdr:row>205</xdr:row>
          <xdr:rowOff>68580</xdr:rowOff>
        </xdr:to>
        <xdr:sp macro="" textlink="">
          <xdr:nvSpPr>
            <xdr:cNvPr id="44086" name="Caixa de seleção 97" hidden="1">
              <a:extLst>
                <a:ext uri="{63B3BB69-23CF-44E3-9099-C40C66FF867C}">
                  <a14:compatExt spid="_x0000_s46134"/>
                </a:ext>
                <a:ext uri="{FF2B5EF4-FFF2-40B4-BE49-F238E27FC236}">
                  <a16:creationId xmlns:a16="http://schemas.microsoft.com/office/drawing/2014/main" id="{00000000-0008-0000-01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Medializada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193</xdr:row>
          <xdr:rowOff>175260</xdr:rowOff>
        </xdr:from>
        <xdr:to>
          <xdr:col>9</xdr:col>
          <xdr:colOff>693420</xdr:colOff>
          <xdr:row>195</xdr:row>
          <xdr:rowOff>68580</xdr:rowOff>
        </xdr:to>
        <xdr:sp macro="" textlink="">
          <xdr:nvSpPr>
            <xdr:cNvPr id="44087" name="Caixa de seleção 98" hidden="1">
              <a:extLst>
                <a:ext uri="{63B3BB69-23CF-44E3-9099-C40C66FF867C}">
                  <a14:compatExt spid="_x0000_s46135"/>
                </a:ext>
                <a:ext uri="{FF2B5EF4-FFF2-40B4-BE49-F238E27FC236}">
                  <a16:creationId xmlns:a16="http://schemas.microsoft.com/office/drawing/2014/main" id="{00000000-0008-0000-01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204</xdr:row>
          <xdr:rowOff>175260</xdr:rowOff>
        </xdr:from>
        <xdr:to>
          <xdr:col>3</xdr:col>
          <xdr:colOff>693420</xdr:colOff>
          <xdr:row>206</xdr:row>
          <xdr:rowOff>68580</xdr:rowOff>
        </xdr:to>
        <xdr:sp macro="" textlink="">
          <xdr:nvSpPr>
            <xdr:cNvPr id="44088" name="Caixa de seleção 104" hidden="1">
              <a:extLst>
                <a:ext uri="{63B3BB69-23CF-44E3-9099-C40C66FF867C}">
                  <a14:compatExt spid="_x0000_s46136"/>
                </a:ext>
                <a:ext uri="{FF2B5EF4-FFF2-40B4-BE49-F238E27FC236}">
                  <a16:creationId xmlns:a16="http://schemas.microsoft.com/office/drawing/2014/main" id="{00000000-0008-0000-01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129540</xdr:colOff>
          <xdr:row>203</xdr:row>
          <xdr:rowOff>175260</xdr:rowOff>
        </xdr:from>
        <xdr:to>
          <xdr:col>7</xdr:col>
          <xdr:colOff>7620</xdr:colOff>
          <xdr:row>205</xdr:row>
          <xdr:rowOff>68580</xdr:rowOff>
        </xdr:to>
        <xdr:sp macro="" textlink="">
          <xdr:nvSpPr>
            <xdr:cNvPr id="44089" name="Caixa de seleção 105" hidden="1">
              <a:extLst>
                <a:ext uri="{63B3BB69-23CF-44E3-9099-C40C66FF867C}">
                  <a14:compatExt spid="_x0000_s46137"/>
                </a:ext>
                <a:ext uri="{FF2B5EF4-FFF2-40B4-BE49-F238E27FC236}">
                  <a16:creationId xmlns:a16="http://schemas.microsoft.com/office/drawing/2014/main" id="{00000000-0008-0000-01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203</xdr:row>
          <xdr:rowOff>175260</xdr:rowOff>
        </xdr:from>
        <xdr:to>
          <xdr:col>4</xdr:col>
          <xdr:colOff>144780</xdr:colOff>
          <xdr:row>205</xdr:row>
          <xdr:rowOff>68580</xdr:rowOff>
        </xdr:to>
        <xdr:sp macro="" textlink="">
          <xdr:nvSpPr>
            <xdr:cNvPr id="44090" name="Caixa de seleção 106" hidden="1">
              <a:extLst>
                <a:ext uri="{63B3BB69-23CF-44E3-9099-C40C66FF867C}">
                  <a14:compatExt spid="_x0000_s46138"/>
                </a:ext>
                <a:ext uri="{FF2B5EF4-FFF2-40B4-BE49-F238E27FC236}">
                  <a16:creationId xmlns:a16="http://schemas.microsoft.com/office/drawing/2014/main" id="{00000000-0008-0000-01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237320</xdr:colOff>
      <xdr:row>0</xdr:row>
      <xdr:rowOff>12213</xdr:rowOff>
    </xdr:from>
    <xdr:to>
      <xdr:col>16</xdr:col>
      <xdr:colOff>0</xdr:colOff>
      <xdr:row>5</xdr:row>
      <xdr:rowOff>79323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58800" y="12213"/>
          <a:ext cx="3572680" cy="1019610"/>
        </a:xfrm>
        <a:prstGeom prst="rect">
          <a:avLst/>
        </a:prstGeom>
      </xdr:spPr>
    </xdr:pic>
    <xdr:clientData/>
  </xdr:twoCellAnchor>
  <xdr:twoCellAnchor>
    <xdr:from>
      <xdr:col>86</xdr:col>
      <xdr:colOff>47625</xdr:colOff>
      <xdr:row>32</xdr:row>
      <xdr:rowOff>47625</xdr:rowOff>
    </xdr:from>
    <xdr:to>
      <xdr:col>88</xdr:col>
      <xdr:colOff>104775</xdr:colOff>
      <xdr:row>34</xdr:row>
      <xdr:rowOff>152399</xdr:rowOff>
    </xdr:to>
    <xdr:sp macro="" textlink="">
      <xdr:nvSpPr>
        <xdr:cNvPr id="92" name="Fluxograma: Processo alternativ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/>
      </xdr:nvSpPr>
      <xdr:spPr>
        <a:xfrm>
          <a:off x="8138160" y="566356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xdr:twoCellAnchor>
    <xdr:from>
      <xdr:col>126</xdr:col>
      <xdr:colOff>152400</xdr:colOff>
      <xdr:row>11</xdr:row>
      <xdr:rowOff>185736</xdr:rowOff>
    </xdr:from>
    <xdr:to>
      <xdr:col>133</xdr:col>
      <xdr:colOff>962025</xdr:colOff>
      <xdr:row>24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142</xdr:col>
      <xdr:colOff>390524</xdr:colOff>
      <xdr:row>19</xdr:row>
      <xdr:rowOff>109537</xdr:rowOff>
    </xdr:from>
    <xdr:to>
      <xdr:col>150</xdr:col>
      <xdr:colOff>28575</xdr:colOff>
      <xdr:row>41</xdr:row>
      <xdr:rowOff>76200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132</xdr:col>
      <xdr:colOff>57150</xdr:colOff>
      <xdr:row>29</xdr:row>
      <xdr:rowOff>47625</xdr:rowOff>
    </xdr:from>
    <xdr:to>
      <xdr:col>134</xdr:col>
      <xdr:colOff>114300</xdr:colOff>
      <xdr:row>31</xdr:row>
      <xdr:rowOff>152399</xdr:rowOff>
    </xdr:to>
    <xdr:sp macro="" textlink="">
      <xdr:nvSpPr>
        <xdr:cNvPr id="95" name="Fluxograma: Processo alternativ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/>
      </xdr:nvSpPr>
      <xdr:spPr>
        <a:xfrm>
          <a:off x="8138160" y="511492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47</xdr:row>
          <xdr:rowOff>175260</xdr:rowOff>
        </xdr:from>
        <xdr:to>
          <xdr:col>13</xdr:col>
          <xdr:colOff>495300</xdr:colOff>
          <xdr:row>49</xdr:row>
          <xdr:rowOff>0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6139"/>
                </a:ext>
                <a:ext uri="{FF2B5EF4-FFF2-40B4-BE49-F238E27FC236}">
                  <a16:creationId xmlns:a16="http://schemas.microsoft.com/office/drawing/2014/main" id="{00000000-0008-0000-01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47</xdr:row>
          <xdr:rowOff>175260</xdr:rowOff>
        </xdr:from>
        <xdr:to>
          <xdr:col>14</xdr:col>
          <xdr:colOff>0</xdr:colOff>
          <xdr:row>49</xdr:row>
          <xdr:rowOff>38100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6140"/>
                </a:ext>
                <a:ext uri="{FF2B5EF4-FFF2-40B4-BE49-F238E27FC236}">
                  <a16:creationId xmlns:a16="http://schemas.microsoft.com/office/drawing/2014/main" id="{00000000-0008-0000-01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53340</xdr:rowOff>
        </xdr:from>
        <xdr:to>
          <xdr:col>13</xdr:col>
          <xdr:colOff>495300</xdr:colOff>
          <xdr:row>52</xdr:row>
          <xdr:rowOff>38100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6141"/>
                </a:ext>
                <a:ext uri="{FF2B5EF4-FFF2-40B4-BE49-F238E27FC236}">
                  <a16:creationId xmlns:a16="http://schemas.microsoft.com/office/drawing/2014/main" id="{00000000-0008-0000-01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50</xdr:row>
          <xdr:rowOff>53340</xdr:rowOff>
        </xdr:from>
        <xdr:to>
          <xdr:col>14</xdr:col>
          <xdr:colOff>0</xdr:colOff>
          <xdr:row>52</xdr:row>
          <xdr:rowOff>38100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6142"/>
                </a:ext>
                <a:ext uri="{FF2B5EF4-FFF2-40B4-BE49-F238E27FC236}">
                  <a16:creationId xmlns:a16="http://schemas.microsoft.com/office/drawing/2014/main" id="{00000000-0008-0000-01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45720</xdr:rowOff>
        </xdr:from>
        <xdr:to>
          <xdr:col>13</xdr:col>
          <xdr:colOff>495300</xdr:colOff>
          <xdr:row>54</xdr:row>
          <xdr:rowOff>38100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6143"/>
                </a:ext>
                <a:ext uri="{FF2B5EF4-FFF2-40B4-BE49-F238E27FC236}">
                  <a16:creationId xmlns:a16="http://schemas.microsoft.com/office/drawing/2014/main" id="{00000000-0008-0000-01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52</xdr:row>
          <xdr:rowOff>45720</xdr:rowOff>
        </xdr:from>
        <xdr:to>
          <xdr:col>14</xdr:col>
          <xdr:colOff>0</xdr:colOff>
          <xdr:row>54</xdr:row>
          <xdr:rowOff>38100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6144"/>
                </a:ext>
                <a:ext uri="{FF2B5EF4-FFF2-40B4-BE49-F238E27FC236}">
                  <a16:creationId xmlns:a16="http://schemas.microsoft.com/office/drawing/2014/main" id="{00000000-0008-0000-01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54</xdr:row>
          <xdr:rowOff>53340</xdr:rowOff>
        </xdr:from>
        <xdr:to>
          <xdr:col>13</xdr:col>
          <xdr:colOff>495300</xdr:colOff>
          <xdr:row>56</xdr:row>
          <xdr:rowOff>0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6145"/>
                </a:ext>
                <a:ext uri="{FF2B5EF4-FFF2-40B4-BE49-F238E27FC236}">
                  <a16:creationId xmlns:a16="http://schemas.microsoft.com/office/drawing/2014/main" id="{00000000-0008-0000-01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54</xdr:row>
          <xdr:rowOff>53340</xdr:rowOff>
        </xdr:from>
        <xdr:to>
          <xdr:col>14</xdr:col>
          <xdr:colOff>0</xdr:colOff>
          <xdr:row>56</xdr:row>
          <xdr:rowOff>38100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6146"/>
                </a:ext>
                <a:ext uri="{FF2B5EF4-FFF2-40B4-BE49-F238E27FC236}">
                  <a16:creationId xmlns:a16="http://schemas.microsoft.com/office/drawing/2014/main" id="{00000000-0008-0000-01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56</xdr:row>
          <xdr:rowOff>53340</xdr:rowOff>
        </xdr:from>
        <xdr:to>
          <xdr:col>13</xdr:col>
          <xdr:colOff>495300</xdr:colOff>
          <xdr:row>58</xdr:row>
          <xdr:rowOff>38100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6147"/>
                </a:ext>
                <a:ext uri="{FF2B5EF4-FFF2-40B4-BE49-F238E27FC236}">
                  <a16:creationId xmlns:a16="http://schemas.microsoft.com/office/drawing/2014/main" id="{00000000-0008-0000-01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56</xdr:row>
          <xdr:rowOff>53340</xdr:rowOff>
        </xdr:from>
        <xdr:to>
          <xdr:col>14</xdr:col>
          <xdr:colOff>0</xdr:colOff>
          <xdr:row>58</xdr:row>
          <xdr:rowOff>38100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6148"/>
                </a:ext>
                <a:ext uri="{FF2B5EF4-FFF2-40B4-BE49-F238E27FC236}">
                  <a16:creationId xmlns:a16="http://schemas.microsoft.com/office/drawing/2014/main" id="{00000000-0008-0000-01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59</xdr:row>
          <xdr:rowOff>53340</xdr:rowOff>
        </xdr:from>
        <xdr:to>
          <xdr:col>13</xdr:col>
          <xdr:colOff>495300</xdr:colOff>
          <xdr:row>61</xdr:row>
          <xdr:rowOff>0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6149"/>
                </a:ext>
                <a:ext uri="{FF2B5EF4-FFF2-40B4-BE49-F238E27FC236}">
                  <a16:creationId xmlns:a16="http://schemas.microsoft.com/office/drawing/2014/main" id="{00000000-0008-0000-01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59</xdr:row>
          <xdr:rowOff>53340</xdr:rowOff>
        </xdr:from>
        <xdr:to>
          <xdr:col>14</xdr:col>
          <xdr:colOff>0</xdr:colOff>
          <xdr:row>61</xdr:row>
          <xdr:rowOff>38100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6150"/>
                </a:ext>
                <a:ext uri="{FF2B5EF4-FFF2-40B4-BE49-F238E27FC236}">
                  <a16:creationId xmlns:a16="http://schemas.microsoft.com/office/drawing/2014/main" id="{00000000-0008-0000-01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62</xdr:row>
          <xdr:rowOff>53340</xdr:rowOff>
        </xdr:from>
        <xdr:to>
          <xdr:col>13</xdr:col>
          <xdr:colOff>495300</xdr:colOff>
          <xdr:row>64</xdr:row>
          <xdr:rowOff>38100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6151"/>
                </a:ext>
                <a:ext uri="{FF2B5EF4-FFF2-40B4-BE49-F238E27FC236}">
                  <a16:creationId xmlns:a16="http://schemas.microsoft.com/office/drawing/2014/main" id="{00000000-0008-0000-01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62</xdr:row>
          <xdr:rowOff>53340</xdr:rowOff>
        </xdr:from>
        <xdr:to>
          <xdr:col>14</xdr:col>
          <xdr:colOff>0</xdr:colOff>
          <xdr:row>64</xdr:row>
          <xdr:rowOff>38100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6152"/>
                </a:ext>
                <a:ext uri="{FF2B5EF4-FFF2-40B4-BE49-F238E27FC236}">
                  <a16:creationId xmlns:a16="http://schemas.microsoft.com/office/drawing/2014/main" id="{00000000-0008-0000-01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938348</xdr:colOff>
      <xdr:row>102</xdr:row>
      <xdr:rowOff>22859</xdr:rowOff>
    </xdr:from>
    <xdr:to>
      <xdr:col>16</xdr:col>
      <xdr:colOff>76195</xdr:colOff>
      <xdr:row>114</xdr:row>
      <xdr:rowOff>34013</xdr:rowOff>
    </xdr:to>
    <xdr:grpSp>
      <xdr:nvGrpSpPr>
        <xdr:cNvPr id="110" name="Agrupar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pSpPr/>
      </xdr:nvGrpSpPr>
      <xdr:grpSpPr>
        <a:xfrm>
          <a:off x="5320342" y="18006059"/>
          <a:ext cx="3084415" cy="2291216"/>
          <a:chOff x="5249487" y="17791734"/>
          <a:chExt cx="3245645" cy="2365535"/>
        </a:xfrm>
      </xdr:grpSpPr>
      <xdr:grpSp>
        <xdr:nvGrpSpPr>
          <xdr:cNvPr id="111" name="Grupo 1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GrpSpPr/>
        </xdr:nvGrpSpPr>
        <xdr:grpSpPr>
          <a:xfrm>
            <a:off x="5358607" y="17791734"/>
            <a:ext cx="3136525" cy="2365535"/>
            <a:chOff x="12007892" y="28838754"/>
            <a:chExt cx="3028012" cy="2412519"/>
          </a:xfrm>
        </xdr:grpSpPr>
        <xdr:pic>
          <xdr:nvPicPr>
            <xdr:cNvPr id="116" name="Imagem 2" descr="ist2_426832_human_anatomy_male_muscles.jpg">
              <a:extLst>
                <a:ext uri="{FF2B5EF4-FFF2-40B4-BE49-F238E27FC236}">
                  <a16:creationId xmlns:a16="http://schemas.microsoft.com/office/drawing/2014/main" id="{00000000-0008-0000-0100-00007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48386" y="28967655"/>
              <a:ext cx="2595563" cy="2283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100-000075000000}"/>
                </a:ext>
              </a:extLst>
            </xdr:cNvPr>
            <xdr:cNvSpPr txBox="1"/>
          </xdr:nvSpPr>
          <xdr:spPr>
            <a:xfrm>
              <a:off x="12007892" y="28838754"/>
              <a:ext cx="759619" cy="2405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Peitoral</a:t>
              </a:r>
            </a:p>
          </xdr:txBody>
        </xdr:sp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100-000076000000}"/>
                </a:ext>
              </a:extLst>
            </xdr:cNvPr>
            <xdr:cNvSpPr txBox="1"/>
          </xdr:nvSpPr>
          <xdr:spPr>
            <a:xfrm>
              <a:off x="13051520" y="29284247"/>
              <a:ext cx="805957" cy="1545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Abdominal</a:t>
              </a:r>
            </a:p>
          </xdr:txBody>
        </xdr:sp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100-000077000000}"/>
                </a:ext>
              </a:extLst>
            </xdr:cNvPr>
            <xdr:cNvSpPr txBox="1"/>
          </xdr:nvSpPr>
          <xdr:spPr>
            <a:xfrm>
              <a:off x="12100761" y="30327349"/>
              <a:ext cx="528638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Coxa</a:t>
              </a:r>
            </a:p>
          </xdr:txBody>
        </xdr:sp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100-000078000000}"/>
                </a:ext>
              </a:extLst>
            </xdr:cNvPr>
            <xdr:cNvSpPr txBox="1"/>
          </xdr:nvSpPr>
          <xdr:spPr>
            <a:xfrm>
              <a:off x="14331991" y="29274836"/>
              <a:ext cx="631016" cy="2056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Tríceps</a:t>
              </a:r>
            </a:p>
          </xdr:txBody>
        </xdr:sp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100-000079000000}"/>
                </a:ext>
              </a:extLst>
            </xdr:cNvPr>
            <xdr:cNvSpPr txBox="1"/>
          </xdr:nvSpPr>
          <xdr:spPr>
            <a:xfrm>
              <a:off x="14081961" y="28900980"/>
              <a:ext cx="953943" cy="2628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Subescapular</a:t>
              </a:r>
            </a:p>
          </xdr:txBody>
        </xdr:sp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100-00007A000000}"/>
                </a:ext>
              </a:extLst>
            </xdr:cNvPr>
            <xdr:cNvSpPr txBox="1"/>
          </xdr:nvSpPr>
          <xdr:spPr>
            <a:xfrm rot="17626162">
              <a:off x="11849474" y="29464643"/>
              <a:ext cx="802469" cy="3413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Supra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ilíaca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3" name="Conector de seta reta 44">
              <a:extLst>
                <a:ext uri="{FF2B5EF4-FFF2-40B4-BE49-F238E27FC236}">
                  <a16:creationId xmlns:a16="http://schemas.microsoft.com/office/drawing/2014/main" id="{00000000-0008-0000-0100-00007B000000}"/>
                </a:ext>
              </a:extLst>
            </xdr:cNvPr>
            <xdr:cNvCxnSpPr>
              <a:stCxn id="121" idx="2"/>
            </xdr:cNvCxnSpPr>
          </xdr:nvCxnSpPr>
          <xdr:spPr>
            <a:xfrm flipH="1">
              <a:off x="14158162" y="29163795"/>
              <a:ext cx="400771" cy="42774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4" name="Conector de seta reta 45">
              <a:extLst>
                <a:ext uri="{FF2B5EF4-FFF2-40B4-BE49-F238E27FC236}">
                  <a16:creationId xmlns:a16="http://schemas.microsoft.com/office/drawing/2014/main" id="{00000000-0008-0000-0100-00007C000000}"/>
                </a:ext>
              </a:extLst>
            </xdr:cNvPr>
            <xdr:cNvCxnSpPr>
              <a:stCxn id="120" idx="2"/>
            </xdr:cNvCxnSpPr>
          </xdr:nvCxnSpPr>
          <xdr:spPr>
            <a:xfrm flipH="1">
              <a:off x="14360568" y="29480504"/>
              <a:ext cx="286932" cy="11103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5" name="Conector de seta reta 47">
              <a:extLst>
                <a:ext uri="{FF2B5EF4-FFF2-40B4-BE49-F238E27FC236}">
                  <a16:creationId xmlns:a16="http://schemas.microsoft.com/office/drawing/2014/main" id="{00000000-0008-0000-0100-00007D000000}"/>
                </a:ext>
              </a:extLst>
            </xdr:cNvPr>
            <xdr:cNvCxnSpPr>
              <a:stCxn id="119" idx="0"/>
            </xdr:cNvCxnSpPr>
          </xdr:nvCxnSpPr>
          <xdr:spPr>
            <a:xfrm rot="5400000" flipH="1" flipV="1">
              <a:off x="12492476" y="30133277"/>
              <a:ext cx="66676" cy="32146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6" name="Conector de seta reta 49">
              <a:extLst>
                <a:ext uri="{FF2B5EF4-FFF2-40B4-BE49-F238E27FC236}">
                  <a16:creationId xmlns:a16="http://schemas.microsoft.com/office/drawing/2014/main" id="{00000000-0008-0000-0100-00007E000000}"/>
                </a:ext>
              </a:extLst>
            </xdr:cNvPr>
            <xdr:cNvCxnSpPr/>
          </xdr:nvCxnSpPr>
          <xdr:spPr>
            <a:xfrm>
              <a:off x="12369997" y="29758122"/>
              <a:ext cx="313947" cy="13810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7" name="Conector de seta reta 50">
              <a:extLst>
                <a:ext uri="{FF2B5EF4-FFF2-40B4-BE49-F238E27FC236}">
                  <a16:creationId xmlns:a16="http://schemas.microsoft.com/office/drawing/2014/main" id="{00000000-0008-0000-0100-00007F000000}"/>
                </a:ext>
              </a:extLst>
            </xdr:cNvPr>
            <xdr:cNvCxnSpPr/>
          </xdr:nvCxnSpPr>
          <xdr:spPr>
            <a:xfrm flipH="1">
              <a:off x="12809848" y="29514787"/>
              <a:ext cx="458897" cy="321742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8" name="Conector de seta reta 51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CxnSpPr/>
          </xdr:nvCxnSpPr>
          <xdr:spPr>
            <a:xfrm flipH="1">
              <a:off x="12697251" y="29208160"/>
              <a:ext cx="565561" cy="398401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9" name="Conector de seta reta 52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/>
          </xdr:nvCxnSpPr>
          <xdr:spPr>
            <a:xfrm>
              <a:off x="12375896" y="29055422"/>
              <a:ext cx="306342" cy="43218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30" name="CaixaDeTexto 129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SpPr txBox="1"/>
          </xdr:nvSpPr>
          <xdr:spPr>
            <a:xfrm>
              <a:off x="13065745" y="28855423"/>
              <a:ext cx="835819" cy="3656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Axilar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média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</xdr:grpSp>
      <xdr:cxnSp macro="">
        <xdr:nvCxnSpPr>
          <xdr:cNvPr id="112" name="Conector de seta reta 47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CxnSpPr/>
        </xdr:nvCxnSpPr>
        <xdr:spPr>
          <a:xfrm flipH="1">
            <a:off x="6088224" y="19508755"/>
            <a:ext cx="575388" cy="202163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3" name="CaixaDeTexto 11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SpPr txBox="1"/>
        </xdr:nvSpPr>
        <xdr:spPr>
          <a:xfrm>
            <a:off x="6431412" y="19267075"/>
            <a:ext cx="865772" cy="137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Panturrilha</a:t>
            </a:r>
          </a:p>
        </xdr:txBody>
      </xdr:sp>
      <xdr:cxnSp macro="">
        <xdr:nvCxnSpPr>
          <xdr:cNvPr id="114" name="Conector de seta reta 52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CxnSpPr/>
        </xdr:nvCxnSpPr>
        <xdr:spPr>
          <a:xfrm>
            <a:off x="5722776" y="18272449"/>
            <a:ext cx="224279" cy="286285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5" name="CaixaDeTexto 114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SpPr txBox="1"/>
        </xdr:nvSpPr>
        <xdr:spPr>
          <a:xfrm>
            <a:off x="5249487" y="18100992"/>
            <a:ext cx="786841" cy="23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Bíceps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184</xdr:row>
          <xdr:rowOff>182880</xdr:rowOff>
        </xdr:from>
        <xdr:to>
          <xdr:col>7</xdr:col>
          <xdr:colOff>571500</xdr:colOff>
          <xdr:row>186</xdr:row>
          <xdr:rowOff>60960</xdr:rowOff>
        </xdr:to>
        <xdr:sp macro="" textlink="">
          <xdr:nvSpPr>
            <xdr:cNvPr id="44105" name="Caixa de seleção 112" hidden="1">
              <a:extLst>
                <a:ext uri="{63B3BB69-23CF-44E3-9099-C40C66FF867C}">
                  <a14:compatExt spid="_x0000_s46153"/>
                </a:ext>
                <a:ext uri="{FF2B5EF4-FFF2-40B4-BE49-F238E27FC236}">
                  <a16:creationId xmlns:a16="http://schemas.microsoft.com/office/drawing/2014/main" id="{00000000-0008-0000-01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190</xdr:row>
          <xdr:rowOff>0</xdr:rowOff>
        </xdr:from>
        <xdr:to>
          <xdr:col>9</xdr:col>
          <xdr:colOff>685800</xdr:colOff>
          <xdr:row>191</xdr:row>
          <xdr:rowOff>60960</xdr:rowOff>
        </xdr:to>
        <xdr:sp macro="" textlink="">
          <xdr:nvSpPr>
            <xdr:cNvPr id="44106" name="Caixa de seleção 112" hidden="1">
              <a:extLst>
                <a:ext uri="{63B3BB69-23CF-44E3-9099-C40C66FF867C}">
                  <a14:compatExt spid="_x0000_s46154"/>
                </a:ext>
                <a:ext uri="{FF2B5EF4-FFF2-40B4-BE49-F238E27FC236}">
                  <a16:creationId xmlns:a16="http://schemas.microsoft.com/office/drawing/2014/main" id="{00000000-0008-0000-01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7776</xdr:colOff>
      <xdr:row>170</xdr:row>
      <xdr:rowOff>177436</xdr:rowOff>
    </xdr:from>
    <xdr:to>
      <xdr:col>12</xdr:col>
      <xdr:colOff>7774</xdr:colOff>
      <xdr:row>186</xdr:row>
      <xdr:rowOff>72369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496" y="24797656"/>
          <a:ext cx="1188718" cy="21733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170</xdr:row>
      <xdr:rowOff>178837</xdr:rowOff>
    </xdr:from>
    <xdr:to>
      <xdr:col>15</xdr:col>
      <xdr:colOff>15551</xdr:colOff>
      <xdr:row>186</xdr:row>
      <xdr:rowOff>61483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320" y="24799057"/>
          <a:ext cx="1204271" cy="2161026"/>
        </a:xfrm>
        <a:prstGeom prst="rect">
          <a:avLst/>
        </a:prstGeom>
      </xdr:spPr>
    </xdr:pic>
    <xdr:clientData/>
  </xdr:twoCellAnchor>
  <xdr:twoCellAnchor editAs="oneCell">
    <xdr:from>
      <xdr:col>6</xdr:col>
      <xdr:colOff>89728</xdr:colOff>
      <xdr:row>189</xdr:row>
      <xdr:rowOff>4666</xdr:rowOff>
    </xdr:from>
    <xdr:to>
      <xdr:col>8</xdr:col>
      <xdr:colOff>11039</xdr:colOff>
      <xdr:row>204</xdr:row>
      <xdr:rowOff>68792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168" y="27429046"/>
          <a:ext cx="1201471" cy="2144386"/>
        </a:xfrm>
        <a:prstGeom prst="rect">
          <a:avLst/>
        </a:prstGeom>
      </xdr:spPr>
    </xdr:pic>
    <xdr:clientData/>
  </xdr:twoCellAnchor>
  <xdr:twoCellAnchor editAs="oneCell">
    <xdr:from>
      <xdr:col>12</xdr:col>
      <xdr:colOff>180392</xdr:colOff>
      <xdr:row>189</xdr:row>
      <xdr:rowOff>9332</xdr:rowOff>
    </xdr:from>
    <xdr:to>
      <xdr:col>15</xdr:col>
      <xdr:colOff>9331</xdr:colOff>
      <xdr:row>204</xdr:row>
      <xdr:rowOff>73458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832" y="27433712"/>
          <a:ext cx="1200539" cy="21443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199</xdr:row>
          <xdr:rowOff>7620</xdr:rowOff>
        </xdr:from>
        <xdr:to>
          <xdr:col>5</xdr:col>
          <xdr:colOff>708660</xdr:colOff>
          <xdr:row>200</xdr:row>
          <xdr:rowOff>60960</xdr:rowOff>
        </xdr:to>
        <xdr:sp macro="" textlink="">
          <xdr:nvSpPr>
            <xdr:cNvPr id="44107" name="Caixa de seleção 68" hidden="1">
              <a:extLst>
                <a:ext uri="{63B3BB69-23CF-44E3-9099-C40C66FF867C}">
                  <a14:compatExt spid="_x0000_s46155"/>
                </a:ext>
                <a:ext uri="{FF2B5EF4-FFF2-40B4-BE49-F238E27FC236}">
                  <a16:creationId xmlns:a16="http://schemas.microsoft.com/office/drawing/2014/main" id="{00000000-0008-0000-01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845820</xdr:colOff>
          <xdr:row>211</xdr:row>
          <xdr:rowOff>0</xdr:rowOff>
        </xdr:from>
        <xdr:to>
          <xdr:col>7</xdr:col>
          <xdr:colOff>403860</xdr:colOff>
          <xdr:row>212</xdr:row>
          <xdr:rowOff>60960</xdr:rowOff>
        </xdr:to>
        <xdr:sp macro="" textlink="">
          <xdr:nvSpPr>
            <xdr:cNvPr id="44108" name="Caixa de seleção 82" hidden="1">
              <a:extLst>
                <a:ext uri="{63B3BB69-23CF-44E3-9099-C40C66FF867C}">
                  <a14:compatExt spid="_x0000_s46156"/>
                </a:ext>
                <a:ext uri="{FF2B5EF4-FFF2-40B4-BE49-F238E27FC236}">
                  <a16:creationId xmlns:a16="http://schemas.microsoft.com/office/drawing/2014/main" id="{00000000-0008-0000-01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Supinado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192</xdr:row>
          <xdr:rowOff>175260</xdr:rowOff>
        </xdr:from>
        <xdr:to>
          <xdr:col>10</xdr:col>
          <xdr:colOff>38100</xdr:colOff>
          <xdr:row>194</xdr:row>
          <xdr:rowOff>68580</xdr:rowOff>
        </xdr:to>
        <xdr:sp macro="" textlink="">
          <xdr:nvSpPr>
            <xdr:cNvPr id="44109" name="Caixa de seleção 99" hidden="1">
              <a:extLst>
                <a:ext uri="{63B3BB69-23CF-44E3-9099-C40C66FF867C}">
                  <a14:compatExt spid="_x0000_s46157"/>
                </a:ext>
                <a:ext uri="{FF2B5EF4-FFF2-40B4-BE49-F238E27FC236}">
                  <a16:creationId xmlns:a16="http://schemas.microsoft.com/office/drawing/2014/main" id="{00000000-0008-0000-01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192</xdr:row>
          <xdr:rowOff>175260</xdr:rowOff>
        </xdr:from>
        <xdr:to>
          <xdr:col>12</xdr:col>
          <xdr:colOff>144780</xdr:colOff>
          <xdr:row>194</xdr:row>
          <xdr:rowOff>68580</xdr:rowOff>
        </xdr:to>
        <xdr:sp macro="" textlink="">
          <xdr:nvSpPr>
            <xdr:cNvPr id="44110" name="Caixa de seleção 100" hidden="1">
              <a:extLst>
                <a:ext uri="{63B3BB69-23CF-44E3-9099-C40C66FF867C}">
                  <a14:compatExt spid="_x0000_s46158"/>
                </a:ext>
                <a:ext uri="{FF2B5EF4-FFF2-40B4-BE49-F238E27FC236}">
                  <a16:creationId xmlns:a16="http://schemas.microsoft.com/office/drawing/2014/main" id="{00000000-0008-0000-01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99060</xdr:colOff>
      <xdr:row>103</xdr:row>
      <xdr:rowOff>49530</xdr:rowOff>
    </xdr:from>
    <xdr:to>
      <xdr:col>9</xdr:col>
      <xdr:colOff>982980</xdr:colOff>
      <xdr:row>112</xdr:row>
      <xdr:rowOff>129540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30480</xdr:colOff>
      <xdr:row>103</xdr:row>
      <xdr:rowOff>41910</xdr:rowOff>
    </xdr:from>
    <xdr:to>
      <xdr:col>6</xdr:col>
      <xdr:colOff>83820</xdr:colOff>
      <xdr:row>112</xdr:row>
      <xdr:rowOff>121920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148</xdr:row>
      <xdr:rowOff>142875</xdr:rowOff>
    </xdr:from>
    <xdr:to>
      <xdr:col>3</xdr:col>
      <xdr:colOff>758960</xdr:colOff>
      <xdr:row>153</xdr:row>
      <xdr:rowOff>117180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21494115"/>
          <a:ext cx="587509" cy="88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153</xdr:row>
      <xdr:rowOff>171450</xdr:rowOff>
    </xdr:from>
    <xdr:to>
      <xdr:col>3</xdr:col>
      <xdr:colOff>765729</xdr:colOff>
      <xdr:row>158</xdr:row>
      <xdr:rowOff>116841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1" y="22437090"/>
          <a:ext cx="632378" cy="85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158</xdr:row>
      <xdr:rowOff>142875</xdr:rowOff>
    </xdr:from>
    <xdr:to>
      <xdr:col>3</xdr:col>
      <xdr:colOff>796424</xdr:colOff>
      <xdr:row>162</xdr:row>
      <xdr:rowOff>155036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23322915"/>
          <a:ext cx="682124" cy="7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90736</xdr:colOff>
      <xdr:row>278</xdr:row>
      <xdr:rowOff>100265</xdr:rowOff>
    </xdr:from>
    <xdr:to>
      <xdr:col>5</xdr:col>
      <xdr:colOff>491557</xdr:colOff>
      <xdr:row>284</xdr:row>
      <xdr:rowOff>73272</xdr:rowOff>
    </xdr:to>
    <xdr:pic>
      <xdr:nvPicPr>
        <xdr:cNvPr id="5" name="Imagem 61" descr="flexao de braço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16" y="42688445"/>
          <a:ext cx="1589541" cy="1093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80213</xdr:colOff>
      <xdr:row>269</xdr:row>
      <xdr:rowOff>160417</xdr:rowOff>
    </xdr:from>
    <xdr:to>
      <xdr:col>5</xdr:col>
      <xdr:colOff>879141</xdr:colOff>
      <xdr:row>275</xdr:row>
      <xdr:rowOff>73165</xdr:rowOff>
    </xdr:to>
    <xdr:pic>
      <xdr:nvPicPr>
        <xdr:cNvPr id="6" name="Imagem 62" descr="abdominal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7"/>
        <a:stretch/>
      </xdr:blipFill>
      <xdr:spPr bwMode="auto">
        <a:xfrm>
          <a:off x="545033" y="41079817"/>
          <a:ext cx="2086708" cy="103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90639</xdr:colOff>
      <xdr:row>82</xdr:row>
      <xdr:rowOff>58556</xdr:rowOff>
    </xdr:from>
    <xdr:to>
      <xdr:col>15</xdr:col>
      <xdr:colOff>8020</xdr:colOff>
      <xdr:row>96</xdr:row>
      <xdr:rowOff>81016</xdr:rowOff>
    </xdr:to>
    <xdr:grpSp>
      <xdr:nvGrpSpPr>
        <xdr:cNvPr id="7" name="Grupo 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662889" y="13850756"/>
          <a:ext cx="1288981" cy="2594210"/>
          <a:chOff x="8091237" y="5313948"/>
          <a:chExt cx="1843521" cy="3157970"/>
        </a:xfrm>
      </xdr:grpSpPr>
      <xdr:grpSp>
        <xdr:nvGrpSpPr>
          <xdr:cNvPr id="8" name="Grupo 2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GrpSpPr/>
        </xdr:nvGrpSpPr>
        <xdr:grpSpPr>
          <a:xfrm>
            <a:off x="8091237" y="5313948"/>
            <a:ext cx="1843521" cy="3157970"/>
            <a:chOff x="8813132" y="5514474"/>
            <a:chExt cx="1843521" cy="3157970"/>
          </a:xfrm>
        </xdr:grpSpPr>
        <xdr:pic>
          <xdr:nvPicPr>
            <xdr:cNvPr id="11" name="Imagem 1" descr="masculino_frente.jpg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13132" y="5514474"/>
              <a:ext cx="1843521" cy="31579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" name="Seta para a esquerda e para a direita 114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SpPr/>
          </xdr:nvSpPr>
          <xdr:spPr>
            <a:xfrm>
              <a:off x="9439185" y="7016827"/>
              <a:ext cx="648565" cy="95250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3" name="Seta para a esquerda e para a direita 115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SpPr/>
          </xdr:nvSpPr>
          <xdr:spPr>
            <a:xfrm>
              <a:off x="9490273" y="6217592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4" name="Seta para a esquerda e para a direita 116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SpPr/>
          </xdr:nvSpPr>
          <xdr:spPr>
            <a:xfrm>
              <a:off x="9490273" y="6508358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5" name="Seta para a esquerda e para a direita 117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/>
          </xdr:nvSpPr>
          <xdr:spPr>
            <a:xfrm rot="19807583">
              <a:off x="10149931" y="663444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6" name="Seta para a esquerda e para a direita 118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/>
          </xdr:nvSpPr>
          <xdr:spPr>
            <a:xfrm rot="19807583">
              <a:off x="10041837" y="639439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7" name="Seta para a esquerda e para a direita 119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>
            <a:xfrm rot="1606633">
              <a:off x="9189784" y="6624919"/>
              <a:ext cx="196781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8" name="Seta para a esquerda e para a direita 120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/>
          </xdr:nvSpPr>
          <xdr:spPr>
            <a:xfrm rot="1606633">
              <a:off x="9282932" y="6404880"/>
              <a:ext cx="191819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9" name="Seta para a esquerda e para a direita 121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/>
          </xdr:nvSpPr>
          <xdr:spPr>
            <a:xfrm>
              <a:off x="9410037" y="7305356"/>
              <a:ext cx="341801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0" name="Seta para a esquerda e para a direita 122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SpPr/>
          </xdr:nvSpPr>
          <xdr:spPr>
            <a:xfrm>
              <a:off x="9797108" y="7302573"/>
              <a:ext cx="336838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1" name="Seta para a esquerda e para a direita 123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/>
          </xdr:nvSpPr>
          <xdr:spPr>
            <a:xfrm>
              <a:off x="9951258" y="7919450"/>
              <a:ext cx="256464" cy="8582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2" name="Seta para a esquerda e para a direita 124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/>
          </xdr:nvSpPr>
          <xdr:spPr>
            <a:xfrm>
              <a:off x="9387385" y="7941282"/>
              <a:ext cx="256465" cy="87967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3" name="Heptágono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/>
          </xdr:nvSpPr>
          <xdr:spPr>
            <a:xfrm>
              <a:off x="9661723" y="6198542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1000"/>
                <a:t>2</a:t>
              </a:r>
            </a:p>
          </xdr:txBody>
        </xdr:sp>
        <xdr:sp macro="" textlink="">
          <xdr:nvSpPr>
            <xdr:cNvPr id="24" name="Heptágono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/>
          </xdr:nvSpPr>
          <xdr:spPr>
            <a:xfrm>
              <a:off x="9661723" y="6479783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3</a:t>
              </a:r>
            </a:p>
          </xdr:txBody>
        </xdr:sp>
        <xdr:sp macro="" textlink="">
          <xdr:nvSpPr>
            <xdr:cNvPr id="25" name="Heptágono 24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SpPr/>
          </xdr:nvSpPr>
          <xdr:spPr>
            <a:xfrm>
              <a:off x="9661723" y="6988251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5</a:t>
              </a:r>
            </a:p>
          </xdr:txBody>
        </xdr:sp>
        <xdr:sp macro="" textlink="">
          <xdr:nvSpPr>
            <xdr:cNvPr id="26" name="Heptágono 25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SpPr/>
          </xdr:nvSpPr>
          <xdr:spPr>
            <a:xfrm>
              <a:off x="9661723" y="7263610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800"/>
                <a:t>8</a:t>
              </a:r>
            </a:p>
          </xdr:txBody>
        </xdr:sp>
        <xdr:sp macro="" textlink="">
          <xdr:nvSpPr>
            <xdr:cNvPr id="27" name="Heptágono 26">
              <a:extLst>
                <a:ext uri="{FF2B5EF4-FFF2-40B4-BE49-F238E27FC236}">
                  <a16:creationId xmlns:a16="http://schemas.microsoft.com/office/drawing/2014/main" id="{00000000-0008-0000-0200-00001B000000}"/>
                </a:ext>
              </a:extLst>
            </xdr:cNvPr>
            <xdr:cNvSpPr/>
          </xdr:nvSpPr>
          <xdr:spPr>
            <a:xfrm>
              <a:off x="9690298" y="7901785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9</a:t>
              </a:r>
            </a:p>
          </xdr:txBody>
        </xdr:sp>
        <xdr:sp macro="" textlink="">
          <xdr:nvSpPr>
            <xdr:cNvPr id="28" name="Heptágono 27">
              <a:extLst>
                <a:ext uri="{FF2B5EF4-FFF2-40B4-BE49-F238E27FC236}">
                  <a16:creationId xmlns:a16="http://schemas.microsoft.com/office/drawing/2014/main" id="{00000000-0008-0000-0200-00001C000000}"/>
                </a:ext>
              </a:extLst>
            </xdr:cNvPr>
            <xdr:cNvSpPr/>
          </xdr:nvSpPr>
          <xdr:spPr>
            <a:xfrm>
              <a:off x="9060481" y="6293158"/>
              <a:ext cx="213515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6</a:t>
              </a:r>
            </a:p>
          </xdr:txBody>
        </xdr:sp>
        <xdr:sp macro="" textlink="">
          <xdr:nvSpPr>
            <xdr:cNvPr id="29" name="Heptágono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/>
          </xdr:nvSpPr>
          <xdr:spPr>
            <a:xfrm>
              <a:off x="8946482" y="65128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7</a:t>
              </a:r>
            </a:p>
          </xdr:txBody>
        </xdr:sp>
        <xdr:sp macro="" textlink="">
          <xdr:nvSpPr>
            <xdr:cNvPr id="30" name="Seta para a esquerda e para a direita 13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SpPr/>
          </xdr:nvSpPr>
          <xdr:spPr>
            <a:xfrm>
              <a:off x="9353461" y="6084242"/>
              <a:ext cx="810490" cy="11429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31" name="Heptágono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/>
          </xdr:nvSpPr>
          <xdr:spPr>
            <a:xfrm>
              <a:off x="9121396" y="60556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1</a:t>
              </a:r>
            </a:p>
          </xdr:txBody>
        </xdr:sp>
      </xdr:grpSp>
      <xdr:sp macro="" textlink="">
        <xdr:nvSpPr>
          <xdr:cNvPr id="9" name="Seta para a esquerda e para a direita 141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>
            <a:off x="8773027" y="6515601"/>
            <a:ext cx="530802" cy="95249"/>
          </a:xfrm>
          <a:prstGeom prst="leftRightArrow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10" name="Heptágono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8944477" y="6487026"/>
            <a:ext cx="213516" cy="142875"/>
          </a:xfrm>
          <a:prstGeom prst="heptagon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r>
              <a:rPr lang="en-US" sz="900"/>
              <a:t>4</a:t>
            </a:r>
          </a:p>
        </xdr:txBody>
      </xdr:sp>
    </xdr:grpSp>
    <xdr:clientData/>
  </xdr:twoCellAnchor>
  <xdr:twoCellAnchor editAs="oneCell">
    <xdr:from>
      <xdr:col>4</xdr:col>
      <xdr:colOff>160421</xdr:colOff>
      <xdr:row>218</xdr:row>
      <xdr:rowOff>168444</xdr:rowOff>
    </xdr:from>
    <xdr:to>
      <xdr:col>13</xdr:col>
      <xdr:colOff>40907</xdr:colOff>
      <xdr:row>263</xdr:row>
      <xdr:rowOff>187304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5771" t="15378" r="38039" b="20225"/>
        <a:stretch/>
      </xdr:blipFill>
      <xdr:spPr>
        <a:xfrm>
          <a:off x="1730141" y="31570464"/>
          <a:ext cx="5062086" cy="84313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18</xdr:row>
          <xdr:rowOff>91440</xdr:rowOff>
        </xdr:from>
        <xdr:to>
          <xdr:col>3</xdr:col>
          <xdr:colOff>975360</xdr:colOff>
          <xdr:row>20</xdr:row>
          <xdr:rowOff>0</xdr:rowOff>
        </xdr:to>
        <xdr:sp macro="" textlink="">
          <xdr:nvSpPr>
            <xdr:cNvPr id="45057" name="Caixa de seleção 2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2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Hipertrofia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91440</xdr:rowOff>
        </xdr:from>
        <xdr:to>
          <xdr:col>5</xdr:col>
          <xdr:colOff>731520</xdr:colOff>
          <xdr:row>20</xdr:row>
          <xdr:rowOff>0</xdr:rowOff>
        </xdr:to>
        <xdr:sp macro="" textlink="">
          <xdr:nvSpPr>
            <xdr:cNvPr id="45058" name="Caixa de seleção 3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2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18</xdr:row>
          <xdr:rowOff>91440</xdr:rowOff>
        </xdr:from>
        <xdr:to>
          <xdr:col>9</xdr:col>
          <xdr:colOff>1089660</xdr:colOff>
          <xdr:row>20</xdr:row>
          <xdr:rowOff>0</xdr:rowOff>
        </xdr:to>
        <xdr:sp macro="" textlink="">
          <xdr:nvSpPr>
            <xdr:cNvPr id="45059" name="Caixa de seleção 4" hidden="1">
              <a:extLst>
                <a:ext uri="{63B3BB69-23CF-44E3-9099-C40C66FF867C}">
                  <a14:compatExt spid="_x0000_s45059"/>
                </a:ext>
                <a:ext uri="{FF2B5EF4-FFF2-40B4-BE49-F238E27FC236}">
                  <a16:creationId xmlns:a16="http://schemas.microsoft.com/office/drawing/2014/main" id="{00000000-0008-0000-0200-00000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Saúde/ Bem estar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91440</xdr:rowOff>
        </xdr:from>
        <xdr:to>
          <xdr:col>7</xdr:col>
          <xdr:colOff>990600</xdr:colOff>
          <xdr:row>20</xdr:row>
          <xdr:rowOff>0</xdr:rowOff>
        </xdr:to>
        <xdr:sp macro="" textlink="">
          <xdr:nvSpPr>
            <xdr:cNvPr id="45060" name="Caixa de seleção 5" hidden="1">
              <a:extLst>
                <a:ext uri="{63B3BB69-23CF-44E3-9099-C40C66FF867C}">
                  <a14:compatExt spid="_x0000_s45060"/>
                </a:ext>
                <a:ext uri="{FF2B5EF4-FFF2-40B4-BE49-F238E27FC236}">
                  <a16:creationId xmlns:a16="http://schemas.microsoft.com/office/drawing/2014/main" id="{00000000-0008-0000-0200-00000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Definição Muscular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18</xdr:row>
          <xdr:rowOff>91440</xdr:rowOff>
        </xdr:from>
        <xdr:to>
          <xdr:col>12</xdr:col>
          <xdr:colOff>60960</xdr:colOff>
          <xdr:row>20</xdr:row>
          <xdr:rowOff>0</xdr:rowOff>
        </xdr:to>
        <xdr:sp macro="" textlink="">
          <xdr:nvSpPr>
            <xdr:cNvPr id="45061" name="Caixa de seleção 6" hidden="1">
              <a:extLst>
                <a:ext uri="{63B3BB69-23CF-44E3-9099-C40C66FF867C}">
                  <a14:compatExt spid="_x0000_s45061"/>
                </a:ext>
                <a:ext uri="{FF2B5EF4-FFF2-40B4-BE49-F238E27FC236}">
                  <a16:creationId xmlns:a16="http://schemas.microsoft.com/office/drawing/2014/main" id="{00000000-0008-0000-0200-000005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Emagrecimento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</xdr:colOff>
          <xdr:row>18</xdr:row>
          <xdr:rowOff>83820</xdr:rowOff>
        </xdr:from>
        <xdr:to>
          <xdr:col>14</xdr:col>
          <xdr:colOff>106680</xdr:colOff>
          <xdr:row>20</xdr:row>
          <xdr:rowOff>0</xdr:rowOff>
        </xdr:to>
        <xdr:sp macro="" textlink="">
          <xdr:nvSpPr>
            <xdr:cNvPr id="45062" name="Caixa de seleção 6" hidden="1">
              <a:extLst>
                <a:ext uri="{63B3BB69-23CF-44E3-9099-C40C66FF867C}">
                  <a14:compatExt spid="_x0000_s45062"/>
                </a:ext>
                <a:ext uri="{FF2B5EF4-FFF2-40B4-BE49-F238E27FC236}">
                  <a16:creationId xmlns:a16="http://schemas.microsoft.com/office/drawing/2014/main" id="{00000000-0008-0000-0200-00000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Preparação Física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169</xdr:row>
          <xdr:rowOff>175260</xdr:rowOff>
        </xdr:from>
        <xdr:to>
          <xdr:col>5</xdr:col>
          <xdr:colOff>579120</xdr:colOff>
          <xdr:row>171</xdr:row>
          <xdr:rowOff>38100</xdr:rowOff>
        </xdr:to>
        <xdr:sp macro="" textlink="">
          <xdr:nvSpPr>
            <xdr:cNvPr id="45063" name="Caixa de seleção 42" hidden="1">
              <a:extLst>
                <a:ext uri="{63B3BB69-23CF-44E3-9099-C40C66FF867C}">
                  <a14:compatExt spid="_x0000_s45063"/>
                </a:ext>
                <a:ext uri="{FF2B5EF4-FFF2-40B4-BE49-F238E27FC236}">
                  <a16:creationId xmlns:a16="http://schemas.microsoft.com/office/drawing/2014/main" id="{00000000-0008-0000-0200-000007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169</xdr:row>
          <xdr:rowOff>175260</xdr:rowOff>
        </xdr:from>
        <xdr:to>
          <xdr:col>7</xdr:col>
          <xdr:colOff>579120</xdr:colOff>
          <xdr:row>171</xdr:row>
          <xdr:rowOff>38100</xdr:rowOff>
        </xdr:to>
        <xdr:sp macro="" textlink="">
          <xdr:nvSpPr>
            <xdr:cNvPr id="45064" name="Caixa de seleção 44" hidden="1">
              <a:extLst>
                <a:ext uri="{63B3BB69-23CF-44E3-9099-C40C66FF867C}">
                  <a14:compatExt spid="_x0000_s45064"/>
                </a:ext>
                <a:ext uri="{FF2B5EF4-FFF2-40B4-BE49-F238E27FC236}">
                  <a16:creationId xmlns:a16="http://schemas.microsoft.com/office/drawing/2014/main" id="{00000000-0008-0000-0200-000008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169</xdr:row>
          <xdr:rowOff>175260</xdr:rowOff>
        </xdr:from>
        <xdr:to>
          <xdr:col>9</xdr:col>
          <xdr:colOff>579120</xdr:colOff>
          <xdr:row>171</xdr:row>
          <xdr:rowOff>38100</xdr:rowOff>
        </xdr:to>
        <xdr:sp macro="" textlink="">
          <xdr:nvSpPr>
            <xdr:cNvPr id="45065" name="Caixa de seleção 45" hidden="1">
              <a:extLst>
                <a:ext uri="{63B3BB69-23CF-44E3-9099-C40C66FF867C}">
                  <a14:compatExt spid="_x0000_s45065"/>
                </a:ext>
                <a:ext uri="{FF2B5EF4-FFF2-40B4-BE49-F238E27FC236}">
                  <a16:creationId xmlns:a16="http://schemas.microsoft.com/office/drawing/2014/main" id="{00000000-0008-0000-0200-000009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Diminuida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171</xdr:row>
          <xdr:rowOff>68580</xdr:rowOff>
        </xdr:from>
        <xdr:to>
          <xdr:col>5</xdr:col>
          <xdr:colOff>609600</xdr:colOff>
          <xdr:row>173</xdr:row>
          <xdr:rowOff>38100</xdr:rowOff>
        </xdr:to>
        <xdr:sp macro="" textlink="">
          <xdr:nvSpPr>
            <xdr:cNvPr id="45066" name="Caixa de seleção 47" hidden="1">
              <a:extLst>
                <a:ext uri="{63B3BB69-23CF-44E3-9099-C40C66FF867C}">
                  <a14:compatExt spid="_x0000_s45066"/>
                </a:ext>
                <a:ext uri="{FF2B5EF4-FFF2-40B4-BE49-F238E27FC236}">
                  <a16:creationId xmlns:a16="http://schemas.microsoft.com/office/drawing/2014/main" id="{00000000-0008-0000-0200-00000A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171</xdr:row>
          <xdr:rowOff>68580</xdr:rowOff>
        </xdr:from>
        <xdr:to>
          <xdr:col>7</xdr:col>
          <xdr:colOff>563880</xdr:colOff>
          <xdr:row>173</xdr:row>
          <xdr:rowOff>38100</xdr:rowOff>
        </xdr:to>
        <xdr:sp macro="" textlink="">
          <xdr:nvSpPr>
            <xdr:cNvPr id="45067" name="Caixa de seleção 48" hidden="1">
              <a:extLst>
                <a:ext uri="{63B3BB69-23CF-44E3-9099-C40C66FF867C}">
                  <a14:compatExt spid="_x0000_s45067"/>
                </a:ext>
                <a:ext uri="{FF2B5EF4-FFF2-40B4-BE49-F238E27FC236}">
                  <a16:creationId xmlns:a16="http://schemas.microsoft.com/office/drawing/2014/main" id="{00000000-0008-0000-0200-00000B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171</xdr:row>
          <xdr:rowOff>68580</xdr:rowOff>
        </xdr:from>
        <xdr:to>
          <xdr:col>9</xdr:col>
          <xdr:colOff>899160</xdr:colOff>
          <xdr:row>173</xdr:row>
          <xdr:rowOff>38100</xdr:rowOff>
        </xdr:to>
        <xdr:sp macro="" textlink="">
          <xdr:nvSpPr>
            <xdr:cNvPr id="45068" name="Caixa de seleção 49" hidden="1">
              <a:extLst>
                <a:ext uri="{63B3BB69-23CF-44E3-9099-C40C66FF867C}">
                  <a14:compatExt spid="_x0000_s45068"/>
                </a:ext>
                <a:ext uri="{FF2B5EF4-FFF2-40B4-BE49-F238E27FC236}">
                  <a16:creationId xmlns:a16="http://schemas.microsoft.com/office/drawing/2014/main" id="{00000000-0008-0000-0200-00000C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Rotação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175</xdr:row>
          <xdr:rowOff>76200</xdr:rowOff>
        </xdr:from>
        <xdr:to>
          <xdr:col>5</xdr:col>
          <xdr:colOff>579120</xdr:colOff>
          <xdr:row>177</xdr:row>
          <xdr:rowOff>45720</xdr:rowOff>
        </xdr:to>
        <xdr:sp macro="" textlink="">
          <xdr:nvSpPr>
            <xdr:cNvPr id="45069" name="Caixa de seleção 50" hidden="1">
              <a:extLst>
                <a:ext uri="{63B3BB69-23CF-44E3-9099-C40C66FF867C}">
                  <a14:compatExt spid="_x0000_s45069"/>
                </a:ext>
                <a:ext uri="{FF2B5EF4-FFF2-40B4-BE49-F238E27FC236}">
                  <a16:creationId xmlns:a16="http://schemas.microsoft.com/office/drawing/2014/main" id="{00000000-0008-0000-0200-00000D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175</xdr:row>
          <xdr:rowOff>76200</xdr:rowOff>
        </xdr:from>
        <xdr:to>
          <xdr:col>7</xdr:col>
          <xdr:colOff>579120</xdr:colOff>
          <xdr:row>177</xdr:row>
          <xdr:rowOff>45720</xdr:rowOff>
        </xdr:to>
        <xdr:sp macro="" textlink="">
          <xdr:nvSpPr>
            <xdr:cNvPr id="45070" name="Caixa de seleção 51" hidden="1">
              <a:extLst>
                <a:ext uri="{63B3BB69-23CF-44E3-9099-C40C66FF867C}">
                  <a14:compatExt spid="_x0000_s45070"/>
                </a:ext>
                <a:ext uri="{FF2B5EF4-FFF2-40B4-BE49-F238E27FC236}">
                  <a16:creationId xmlns:a16="http://schemas.microsoft.com/office/drawing/2014/main" id="{00000000-0008-0000-0200-00000E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175</xdr:row>
          <xdr:rowOff>76200</xdr:rowOff>
        </xdr:from>
        <xdr:to>
          <xdr:col>9</xdr:col>
          <xdr:colOff>579120</xdr:colOff>
          <xdr:row>177</xdr:row>
          <xdr:rowOff>45720</xdr:rowOff>
        </xdr:to>
        <xdr:sp macro="" textlink="">
          <xdr:nvSpPr>
            <xdr:cNvPr id="45071" name="Caixa de seleção 52" hidden="1">
              <a:extLst>
                <a:ext uri="{63B3BB69-23CF-44E3-9099-C40C66FF867C}">
                  <a14:compatExt spid="_x0000_s45071"/>
                </a:ext>
                <a:ext uri="{FF2B5EF4-FFF2-40B4-BE49-F238E27FC236}">
                  <a16:creationId xmlns:a16="http://schemas.microsoft.com/office/drawing/2014/main" id="{00000000-0008-0000-0200-00000F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177</xdr:row>
          <xdr:rowOff>76200</xdr:rowOff>
        </xdr:from>
        <xdr:to>
          <xdr:col>5</xdr:col>
          <xdr:colOff>579120</xdr:colOff>
          <xdr:row>179</xdr:row>
          <xdr:rowOff>60960</xdr:rowOff>
        </xdr:to>
        <xdr:sp macro="" textlink="">
          <xdr:nvSpPr>
            <xdr:cNvPr id="45072" name="Caixa de seleção 53" hidden="1">
              <a:extLst>
                <a:ext uri="{63B3BB69-23CF-44E3-9099-C40C66FF867C}">
                  <a14:compatExt spid="_x0000_s45072"/>
                </a:ext>
                <a:ext uri="{FF2B5EF4-FFF2-40B4-BE49-F238E27FC236}">
                  <a16:creationId xmlns:a16="http://schemas.microsoft.com/office/drawing/2014/main" id="{00000000-0008-0000-0200-000010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Fisioóogica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177</xdr:row>
          <xdr:rowOff>76200</xdr:rowOff>
        </xdr:from>
        <xdr:to>
          <xdr:col>7</xdr:col>
          <xdr:colOff>579120</xdr:colOff>
          <xdr:row>179</xdr:row>
          <xdr:rowOff>60960</xdr:rowOff>
        </xdr:to>
        <xdr:sp macro="" textlink="">
          <xdr:nvSpPr>
            <xdr:cNvPr id="45073" name="Caixa de seleção 54" hidden="1">
              <a:extLst>
                <a:ext uri="{63B3BB69-23CF-44E3-9099-C40C66FF867C}">
                  <a14:compatExt spid="_x0000_s45073"/>
                </a:ext>
                <a:ext uri="{FF2B5EF4-FFF2-40B4-BE49-F238E27FC236}">
                  <a16:creationId xmlns:a16="http://schemas.microsoft.com/office/drawing/2014/main" id="{00000000-0008-0000-0200-00001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177</xdr:row>
          <xdr:rowOff>76200</xdr:rowOff>
        </xdr:from>
        <xdr:to>
          <xdr:col>9</xdr:col>
          <xdr:colOff>579120</xdr:colOff>
          <xdr:row>179</xdr:row>
          <xdr:rowOff>60960</xdr:rowOff>
        </xdr:to>
        <xdr:sp macro="" textlink="">
          <xdr:nvSpPr>
            <xdr:cNvPr id="45074" name="Caixa de seleção 55" hidden="1">
              <a:extLst>
                <a:ext uri="{63B3BB69-23CF-44E3-9099-C40C66FF867C}">
                  <a14:compatExt spid="_x0000_s45074"/>
                </a:ext>
                <a:ext uri="{FF2B5EF4-FFF2-40B4-BE49-F238E27FC236}">
                  <a16:creationId xmlns:a16="http://schemas.microsoft.com/office/drawing/2014/main" id="{00000000-0008-0000-0200-00001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179</xdr:row>
          <xdr:rowOff>76200</xdr:rowOff>
        </xdr:from>
        <xdr:to>
          <xdr:col>5</xdr:col>
          <xdr:colOff>579120</xdr:colOff>
          <xdr:row>181</xdr:row>
          <xdr:rowOff>22860</xdr:rowOff>
        </xdr:to>
        <xdr:sp macro="" textlink="">
          <xdr:nvSpPr>
            <xdr:cNvPr id="45075" name="Caixa de seleção 59" hidden="1">
              <a:extLst>
                <a:ext uri="{63B3BB69-23CF-44E3-9099-C40C66FF867C}">
                  <a14:compatExt spid="_x0000_s45075"/>
                </a:ext>
                <a:ext uri="{FF2B5EF4-FFF2-40B4-BE49-F238E27FC236}">
                  <a16:creationId xmlns:a16="http://schemas.microsoft.com/office/drawing/2014/main" id="{00000000-0008-0000-0200-00001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179</xdr:row>
          <xdr:rowOff>76200</xdr:rowOff>
        </xdr:from>
        <xdr:to>
          <xdr:col>7</xdr:col>
          <xdr:colOff>579120</xdr:colOff>
          <xdr:row>181</xdr:row>
          <xdr:rowOff>22860</xdr:rowOff>
        </xdr:to>
        <xdr:sp macro="" textlink="">
          <xdr:nvSpPr>
            <xdr:cNvPr id="45076" name="Caixa de seleção 60" hidden="1">
              <a:extLst>
                <a:ext uri="{63B3BB69-23CF-44E3-9099-C40C66FF867C}">
                  <a14:compatExt spid="_x0000_s45076"/>
                </a:ext>
                <a:ext uri="{FF2B5EF4-FFF2-40B4-BE49-F238E27FC236}">
                  <a16:creationId xmlns:a16="http://schemas.microsoft.com/office/drawing/2014/main" id="{00000000-0008-0000-0200-00001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Anteversão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179</xdr:row>
          <xdr:rowOff>76200</xdr:rowOff>
        </xdr:from>
        <xdr:to>
          <xdr:col>9</xdr:col>
          <xdr:colOff>579120</xdr:colOff>
          <xdr:row>181</xdr:row>
          <xdr:rowOff>22860</xdr:rowOff>
        </xdr:to>
        <xdr:sp macro="" textlink="">
          <xdr:nvSpPr>
            <xdr:cNvPr id="45077" name="Caixa de seleção 61" hidden="1">
              <a:extLst>
                <a:ext uri="{63B3BB69-23CF-44E3-9099-C40C66FF867C}">
                  <a14:compatExt spid="_x0000_s45077"/>
                </a:ext>
                <a:ext uri="{FF2B5EF4-FFF2-40B4-BE49-F238E27FC236}">
                  <a16:creationId xmlns:a16="http://schemas.microsoft.com/office/drawing/2014/main" id="{00000000-0008-0000-0200-000015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Retroversão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181</xdr:row>
          <xdr:rowOff>76200</xdr:rowOff>
        </xdr:from>
        <xdr:to>
          <xdr:col>5</xdr:col>
          <xdr:colOff>579120</xdr:colOff>
          <xdr:row>183</xdr:row>
          <xdr:rowOff>38100</xdr:rowOff>
        </xdr:to>
        <xdr:sp macro="" textlink="">
          <xdr:nvSpPr>
            <xdr:cNvPr id="45078" name="Caixa de seleção 62" hidden="1">
              <a:extLst>
                <a:ext uri="{63B3BB69-23CF-44E3-9099-C40C66FF867C}">
                  <a14:compatExt spid="_x0000_s45078"/>
                </a:ext>
                <a:ext uri="{FF2B5EF4-FFF2-40B4-BE49-F238E27FC236}">
                  <a16:creationId xmlns:a16="http://schemas.microsoft.com/office/drawing/2014/main" id="{00000000-0008-0000-0200-00001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181</xdr:row>
          <xdr:rowOff>76200</xdr:rowOff>
        </xdr:from>
        <xdr:to>
          <xdr:col>7</xdr:col>
          <xdr:colOff>579120</xdr:colOff>
          <xdr:row>183</xdr:row>
          <xdr:rowOff>38100</xdr:rowOff>
        </xdr:to>
        <xdr:sp macro="" textlink="">
          <xdr:nvSpPr>
            <xdr:cNvPr id="45079" name="Caixa de seleção 63" hidden="1">
              <a:extLst>
                <a:ext uri="{63B3BB69-23CF-44E3-9099-C40C66FF867C}">
                  <a14:compatExt spid="_x0000_s45079"/>
                </a:ext>
                <a:ext uri="{FF2B5EF4-FFF2-40B4-BE49-F238E27FC236}">
                  <a16:creationId xmlns:a16="http://schemas.microsoft.com/office/drawing/2014/main" id="{00000000-0008-0000-0200-000017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Recurvatum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181</xdr:row>
          <xdr:rowOff>76200</xdr:rowOff>
        </xdr:from>
        <xdr:to>
          <xdr:col>9</xdr:col>
          <xdr:colOff>579120</xdr:colOff>
          <xdr:row>183</xdr:row>
          <xdr:rowOff>38100</xdr:rowOff>
        </xdr:to>
        <xdr:sp macro="" textlink="">
          <xdr:nvSpPr>
            <xdr:cNvPr id="45080" name="Caixa de seleção 64" hidden="1">
              <a:extLst>
                <a:ext uri="{63B3BB69-23CF-44E3-9099-C40C66FF867C}">
                  <a14:compatExt spid="_x0000_s45080"/>
                </a:ext>
                <a:ext uri="{FF2B5EF4-FFF2-40B4-BE49-F238E27FC236}">
                  <a16:creationId xmlns:a16="http://schemas.microsoft.com/office/drawing/2014/main" id="{00000000-0008-0000-0200-000018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Flexo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173</xdr:row>
          <xdr:rowOff>68580</xdr:rowOff>
        </xdr:from>
        <xdr:to>
          <xdr:col>5</xdr:col>
          <xdr:colOff>579120</xdr:colOff>
          <xdr:row>175</xdr:row>
          <xdr:rowOff>45720</xdr:rowOff>
        </xdr:to>
        <xdr:sp macro="" textlink="">
          <xdr:nvSpPr>
            <xdr:cNvPr id="45081" name="Caixa de seleção 107" hidden="1">
              <a:extLst>
                <a:ext uri="{63B3BB69-23CF-44E3-9099-C40C66FF867C}">
                  <a14:compatExt spid="_x0000_s45081"/>
                </a:ext>
                <a:ext uri="{FF2B5EF4-FFF2-40B4-BE49-F238E27FC236}">
                  <a16:creationId xmlns:a16="http://schemas.microsoft.com/office/drawing/2014/main" id="{00000000-0008-0000-0200-000019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173</xdr:row>
          <xdr:rowOff>68580</xdr:rowOff>
        </xdr:from>
        <xdr:to>
          <xdr:col>7</xdr:col>
          <xdr:colOff>563880</xdr:colOff>
          <xdr:row>175</xdr:row>
          <xdr:rowOff>45720</xdr:rowOff>
        </xdr:to>
        <xdr:sp macro="" textlink="">
          <xdr:nvSpPr>
            <xdr:cNvPr id="45082" name="Caixa de seleção 108" hidden="1">
              <a:extLst>
                <a:ext uri="{63B3BB69-23CF-44E3-9099-C40C66FF867C}">
                  <a14:compatExt spid="_x0000_s45082"/>
                </a:ext>
                <a:ext uri="{FF2B5EF4-FFF2-40B4-BE49-F238E27FC236}">
                  <a16:creationId xmlns:a16="http://schemas.microsoft.com/office/drawing/2014/main" id="{00000000-0008-0000-0200-00001A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183</xdr:row>
          <xdr:rowOff>76200</xdr:rowOff>
        </xdr:from>
        <xdr:to>
          <xdr:col>7</xdr:col>
          <xdr:colOff>594360</xdr:colOff>
          <xdr:row>185</xdr:row>
          <xdr:rowOff>60960</xdr:rowOff>
        </xdr:to>
        <xdr:sp macro="" textlink="">
          <xdr:nvSpPr>
            <xdr:cNvPr id="45083" name="Caixa de seleção 109" hidden="1">
              <a:extLst>
                <a:ext uri="{63B3BB69-23CF-44E3-9099-C40C66FF867C}">
                  <a14:compatExt spid="_x0000_s45083"/>
                </a:ext>
                <a:ext uri="{FF2B5EF4-FFF2-40B4-BE49-F238E27FC236}">
                  <a16:creationId xmlns:a16="http://schemas.microsoft.com/office/drawing/2014/main" id="{00000000-0008-0000-0200-00001B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183</xdr:row>
          <xdr:rowOff>76200</xdr:rowOff>
        </xdr:from>
        <xdr:to>
          <xdr:col>5</xdr:col>
          <xdr:colOff>579120</xdr:colOff>
          <xdr:row>185</xdr:row>
          <xdr:rowOff>60960</xdr:rowOff>
        </xdr:to>
        <xdr:sp macro="" textlink="">
          <xdr:nvSpPr>
            <xdr:cNvPr id="45084" name="Caixa de seleção 110" hidden="1">
              <a:extLst>
                <a:ext uri="{63B3BB69-23CF-44E3-9099-C40C66FF867C}">
                  <a14:compatExt spid="_x0000_s45084"/>
                </a:ext>
                <a:ext uri="{FF2B5EF4-FFF2-40B4-BE49-F238E27FC236}">
                  <a16:creationId xmlns:a16="http://schemas.microsoft.com/office/drawing/2014/main" id="{00000000-0008-0000-0200-00001C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183</xdr:row>
          <xdr:rowOff>76200</xdr:rowOff>
        </xdr:from>
        <xdr:to>
          <xdr:col>9</xdr:col>
          <xdr:colOff>579120</xdr:colOff>
          <xdr:row>185</xdr:row>
          <xdr:rowOff>45720</xdr:rowOff>
        </xdr:to>
        <xdr:sp macro="" textlink="">
          <xdr:nvSpPr>
            <xdr:cNvPr id="45085" name="Caixa de seleção 111" hidden="1">
              <a:extLst>
                <a:ext uri="{63B3BB69-23CF-44E3-9099-C40C66FF867C}">
                  <a14:compatExt spid="_x0000_s45085"/>
                </a:ext>
                <a:ext uri="{FF2B5EF4-FFF2-40B4-BE49-F238E27FC236}">
                  <a16:creationId xmlns:a16="http://schemas.microsoft.com/office/drawing/2014/main" id="{00000000-0008-0000-0200-00001D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Calcâneo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184</xdr:row>
          <xdr:rowOff>182880</xdr:rowOff>
        </xdr:from>
        <xdr:to>
          <xdr:col>5</xdr:col>
          <xdr:colOff>571500</xdr:colOff>
          <xdr:row>186</xdr:row>
          <xdr:rowOff>60960</xdr:rowOff>
        </xdr:to>
        <xdr:sp macro="" textlink="">
          <xdr:nvSpPr>
            <xdr:cNvPr id="45086" name="Caixa de seleção 112" hidden="1">
              <a:extLst>
                <a:ext uri="{63B3BB69-23CF-44E3-9099-C40C66FF867C}">
                  <a14:compatExt spid="_x0000_s45086"/>
                </a:ext>
                <a:ext uri="{FF2B5EF4-FFF2-40B4-BE49-F238E27FC236}">
                  <a16:creationId xmlns:a16="http://schemas.microsoft.com/office/drawing/2014/main" id="{00000000-0008-0000-0200-00001E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Equino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199</xdr:row>
          <xdr:rowOff>7620</xdr:rowOff>
        </xdr:from>
        <xdr:to>
          <xdr:col>3</xdr:col>
          <xdr:colOff>723900</xdr:colOff>
          <xdr:row>200</xdr:row>
          <xdr:rowOff>60960</xdr:rowOff>
        </xdr:to>
        <xdr:sp macro="" textlink="">
          <xdr:nvSpPr>
            <xdr:cNvPr id="45087" name="Caixa de seleção 46" hidden="1">
              <a:extLst>
                <a:ext uri="{63B3BB69-23CF-44E3-9099-C40C66FF867C}">
                  <a14:compatExt spid="_x0000_s45087"/>
                </a:ext>
                <a:ext uri="{FF2B5EF4-FFF2-40B4-BE49-F238E27FC236}">
                  <a16:creationId xmlns:a16="http://schemas.microsoft.com/office/drawing/2014/main" id="{00000000-0008-0000-0200-00001F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Em "S"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190</xdr:row>
          <xdr:rowOff>7620</xdr:rowOff>
        </xdr:from>
        <xdr:to>
          <xdr:col>3</xdr:col>
          <xdr:colOff>708660</xdr:colOff>
          <xdr:row>191</xdr:row>
          <xdr:rowOff>60960</xdr:rowOff>
        </xdr:to>
        <xdr:sp macro="" textlink="">
          <xdr:nvSpPr>
            <xdr:cNvPr id="45088" name="Caixa de seleção 65" hidden="1">
              <a:extLst>
                <a:ext uri="{63B3BB69-23CF-44E3-9099-C40C66FF867C}">
                  <a14:compatExt spid="_x0000_s45088"/>
                </a:ext>
                <a:ext uri="{FF2B5EF4-FFF2-40B4-BE49-F238E27FC236}">
                  <a16:creationId xmlns:a16="http://schemas.microsoft.com/office/drawing/2014/main" id="{00000000-0008-0000-0200-000020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189</xdr:row>
          <xdr:rowOff>7620</xdr:rowOff>
        </xdr:from>
        <xdr:to>
          <xdr:col>5</xdr:col>
          <xdr:colOff>99060</xdr:colOff>
          <xdr:row>190</xdr:row>
          <xdr:rowOff>60960</xdr:rowOff>
        </xdr:to>
        <xdr:sp macro="" textlink="">
          <xdr:nvSpPr>
            <xdr:cNvPr id="45089" name="Caixa de seleção 66" hidden="1">
              <a:extLst>
                <a:ext uri="{63B3BB69-23CF-44E3-9099-C40C66FF867C}">
                  <a14:compatExt spid="_x0000_s45089"/>
                </a:ext>
                <a:ext uri="{FF2B5EF4-FFF2-40B4-BE49-F238E27FC236}">
                  <a16:creationId xmlns:a16="http://schemas.microsoft.com/office/drawing/2014/main" id="{00000000-0008-0000-0200-00002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189</xdr:row>
          <xdr:rowOff>7620</xdr:rowOff>
        </xdr:from>
        <xdr:to>
          <xdr:col>7</xdr:col>
          <xdr:colOff>259080</xdr:colOff>
          <xdr:row>190</xdr:row>
          <xdr:rowOff>60960</xdr:rowOff>
        </xdr:to>
        <xdr:sp macro="" textlink="">
          <xdr:nvSpPr>
            <xdr:cNvPr id="45090" name="Caixa de seleção 67" hidden="1">
              <a:extLst>
                <a:ext uri="{63B3BB69-23CF-44E3-9099-C40C66FF867C}">
                  <a14:compatExt spid="_x0000_s45090"/>
                </a:ext>
                <a:ext uri="{FF2B5EF4-FFF2-40B4-BE49-F238E27FC236}">
                  <a16:creationId xmlns:a16="http://schemas.microsoft.com/office/drawing/2014/main" id="{00000000-0008-0000-0200-00002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198</xdr:row>
          <xdr:rowOff>7620</xdr:rowOff>
        </xdr:from>
        <xdr:to>
          <xdr:col>5</xdr:col>
          <xdr:colOff>22860</xdr:colOff>
          <xdr:row>199</xdr:row>
          <xdr:rowOff>60960</xdr:rowOff>
        </xdr:to>
        <xdr:sp macro="" textlink="">
          <xdr:nvSpPr>
            <xdr:cNvPr id="45091" name="Caixa de seleção 69" hidden="1">
              <a:extLst>
                <a:ext uri="{63B3BB69-23CF-44E3-9099-C40C66FF867C}">
                  <a14:compatExt spid="_x0000_s45091"/>
                </a:ext>
                <a:ext uri="{FF2B5EF4-FFF2-40B4-BE49-F238E27FC236}">
                  <a16:creationId xmlns:a16="http://schemas.microsoft.com/office/drawing/2014/main" id="{00000000-0008-0000-0200-00002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198</xdr:row>
          <xdr:rowOff>7620</xdr:rowOff>
        </xdr:from>
        <xdr:to>
          <xdr:col>7</xdr:col>
          <xdr:colOff>83820</xdr:colOff>
          <xdr:row>199</xdr:row>
          <xdr:rowOff>60960</xdr:rowOff>
        </xdr:to>
        <xdr:sp macro="" textlink="">
          <xdr:nvSpPr>
            <xdr:cNvPr id="45092" name="Caixa de seleção 70" hidden="1">
              <a:extLst>
                <a:ext uri="{63B3BB69-23CF-44E3-9099-C40C66FF867C}">
                  <a14:compatExt spid="_x0000_s45092"/>
                </a:ext>
                <a:ext uri="{FF2B5EF4-FFF2-40B4-BE49-F238E27FC236}">
                  <a16:creationId xmlns:a16="http://schemas.microsoft.com/office/drawing/2014/main" id="{00000000-0008-0000-0200-00002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Torácica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195</xdr:row>
          <xdr:rowOff>7620</xdr:rowOff>
        </xdr:from>
        <xdr:to>
          <xdr:col>3</xdr:col>
          <xdr:colOff>708660</xdr:colOff>
          <xdr:row>196</xdr:row>
          <xdr:rowOff>60960</xdr:rowOff>
        </xdr:to>
        <xdr:sp macro="" textlink="">
          <xdr:nvSpPr>
            <xdr:cNvPr id="45093" name="Caixa de seleção 71" hidden="1">
              <a:extLst>
                <a:ext uri="{63B3BB69-23CF-44E3-9099-C40C66FF867C}">
                  <a14:compatExt spid="_x0000_s45093"/>
                </a:ext>
                <a:ext uri="{FF2B5EF4-FFF2-40B4-BE49-F238E27FC236}">
                  <a16:creationId xmlns:a16="http://schemas.microsoft.com/office/drawing/2014/main" id="{00000000-0008-0000-0200-000025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Abduzida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193</xdr:row>
          <xdr:rowOff>7620</xdr:rowOff>
        </xdr:from>
        <xdr:to>
          <xdr:col>4</xdr:col>
          <xdr:colOff>137160</xdr:colOff>
          <xdr:row>194</xdr:row>
          <xdr:rowOff>60960</xdr:rowOff>
        </xdr:to>
        <xdr:sp macro="" textlink="">
          <xdr:nvSpPr>
            <xdr:cNvPr id="45094" name="Caixa de seleção 72" hidden="1">
              <a:extLst>
                <a:ext uri="{63B3BB69-23CF-44E3-9099-C40C66FF867C}">
                  <a14:compatExt spid="_x0000_s45094"/>
                </a:ext>
                <a:ext uri="{FF2B5EF4-FFF2-40B4-BE49-F238E27FC236}">
                  <a16:creationId xmlns:a16="http://schemas.microsoft.com/office/drawing/2014/main" id="{00000000-0008-0000-0200-00002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193</xdr:row>
          <xdr:rowOff>7620</xdr:rowOff>
        </xdr:from>
        <xdr:to>
          <xdr:col>5</xdr:col>
          <xdr:colOff>708660</xdr:colOff>
          <xdr:row>194</xdr:row>
          <xdr:rowOff>60960</xdr:rowOff>
        </xdr:to>
        <xdr:sp macro="" textlink="">
          <xdr:nvSpPr>
            <xdr:cNvPr id="45095" name="Caixa de seleção 73" hidden="1">
              <a:extLst>
                <a:ext uri="{63B3BB69-23CF-44E3-9099-C40C66FF867C}">
                  <a14:compatExt spid="_x0000_s45095"/>
                </a:ext>
                <a:ext uri="{FF2B5EF4-FFF2-40B4-BE49-F238E27FC236}">
                  <a16:creationId xmlns:a16="http://schemas.microsoft.com/office/drawing/2014/main" id="{00000000-0008-0000-0200-000027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194</xdr:row>
          <xdr:rowOff>7620</xdr:rowOff>
        </xdr:from>
        <xdr:to>
          <xdr:col>3</xdr:col>
          <xdr:colOff>975360</xdr:colOff>
          <xdr:row>195</xdr:row>
          <xdr:rowOff>60960</xdr:rowOff>
        </xdr:to>
        <xdr:sp macro="" textlink="">
          <xdr:nvSpPr>
            <xdr:cNvPr id="45096" name="Caixa de seleção 77" hidden="1">
              <a:extLst>
                <a:ext uri="{63B3BB69-23CF-44E3-9099-C40C66FF867C}">
                  <a14:compatExt spid="_x0000_s45096"/>
                </a:ext>
                <a:ext uri="{FF2B5EF4-FFF2-40B4-BE49-F238E27FC236}">
                  <a16:creationId xmlns:a16="http://schemas.microsoft.com/office/drawing/2014/main" id="{00000000-0008-0000-0200-000028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Inferior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194</xdr:row>
          <xdr:rowOff>7620</xdr:rowOff>
        </xdr:from>
        <xdr:to>
          <xdr:col>6</xdr:col>
          <xdr:colOff>99060</xdr:colOff>
          <xdr:row>195</xdr:row>
          <xdr:rowOff>60960</xdr:rowOff>
        </xdr:to>
        <xdr:sp macro="" textlink="">
          <xdr:nvSpPr>
            <xdr:cNvPr id="45097" name="Caixa de seleção 78" hidden="1">
              <a:extLst>
                <a:ext uri="{63B3BB69-23CF-44E3-9099-C40C66FF867C}">
                  <a14:compatExt spid="_x0000_s45097"/>
                </a:ext>
                <a:ext uri="{FF2B5EF4-FFF2-40B4-BE49-F238E27FC236}">
                  <a16:creationId xmlns:a16="http://schemas.microsoft.com/office/drawing/2014/main" id="{00000000-0008-0000-0200-000029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Superior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211</xdr:row>
          <xdr:rowOff>0</xdr:rowOff>
        </xdr:from>
        <xdr:to>
          <xdr:col>3</xdr:col>
          <xdr:colOff>708660</xdr:colOff>
          <xdr:row>212</xdr:row>
          <xdr:rowOff>60960</xdr:rowOff>
        </xdr:to>
        <xdr:sp macro="" textlink="">
          <xdr:nvSpPr>
            <xdr:cNvPr id="45098" name="Caixa de seleção 80" hidden="1">
              <a:extLst>
                <a:ext uri="{63B3BB69-23CF-44E3-9099-C40C66FF867C}">
                  <a14:compatExt spid="_x0000_s45098"/>
                </a:ext>
                <a:ext uri="{FF2B5EF4-FFF2-40B4-BE49-F238E27FC236}">
                  <a16:creationId xmlns:a16="http://schemas.microsoft.com/office/drawing/2014/main" id="{00000000-0008-0000-0200-00002A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211</xdr:row>
          <xdr:rowOff>0</xdr:rowOff>
        </xdr:from>
        <xdr:to>
          <xdr:col>5</xdr:col>
          <xdr:colOff>685800</xdr:colOff>
          <xdr:row>212</xdr:row>
          <xdr:rowOff>60960</xdr:rowOff>
        </xdr:to>
        <xdr:sp macro="" textlink="">
          <xdr:nvSpPr>
            <xdr:cNvPr id="45099" name="Caixa de seleção 81" hidden="1">
              <a:extLst>
                <a:ext uri="{63B3BB69-23CF-44E3-9099-C40C66FF867C}">
                  <a14:compatExt spid="_x0000_s45099"/>
                </a:ext>
                <a:ext uri="{FF2B5EF4-FFF2-40B4-BE49-F238E27FC236}">
                  <a16:creationId xmlns:a16="http://schemas.microsoft.com/office/drawing/2014/main" id="{00000000-0008-0000-0200-00002B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208</xdr:row>
          <xdr:rowOff>7620</xdr:rowOff>
        </xdr:from>
        <xdr:to>
          <xdr:col>3</xdr:col>
          <xdr:colOff>708660</xdr:colOff>
          <xdr:row>209</xdr:row>
          <xdr:rowOff>60960</xdr:rowOff>
        </xdr:to>
        <xdr:sp macro="" textlink="">
          <xdr:nvSpPr>
            <xdr:cNvPr id="45100" name="Caixa de seleção 83" hidden="1">
              <a:extLst>
                <a:ext uri="{63B3BB69-23CF-44E3-9099-C40C66FF867C}">
                  <a14:compatExt spid="_x0000_s45100"/>
                </a:ext>
                <a:ext uri="{FF2B5EF4-FFF2-40B4-BE49-F238E27FC236}">
                  <a16:creationId xmlns:a16="http://schemas.microsoft.com/office/drawing/2014/main" id="{00000000-0008-0000-0200-00002C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208</xdr:row>
          <xdr:rowOff>7620</xdr:rowOff>
        </xdr:from>
        <xdr:to>
          <xdr:col>5</xdr:col>
          <xdr:colOff>685800</xdr:colOff>
          <xdr:row>209</xdr:row>
          <xdr:rowOff>60960</xdr:rowOff>
        </xdr:to>
        <xdr:sp macro="" textlink="">
          <xdr:nvSpPr>
            <xdr:cNvPr id="45101" name="Caixa de seleção 84" hidden="1">
              <a:extLst>
                <a:ext uri="{63B3BB69-23CF-44E3-9099-C40C66FF867C}">
                  <a14:compatExt spid="_x0000_s45101"/>
                </a:ext>
                <a:ext uri="{FF2B5EF4-FFF2-40B4-BE49-F238E27FC236}">
                  <a16:creationId xmlns:a16="http://schemas.microsoft.com/office/drawing/2014/main" id="{00000000-0008-0000-0200-00002D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838200</xdr:colOff>
          <xdr:row>208</xdr:row>
          <xdr:rowOff>15240</xdr:rowOff>
        </xdr:from>
        <xdr:to>
          <xdr:col>7</xdr:col>
          <xdr:colOff>403860</xdr:colOff>
          <xdr:row>209</xdr:row>
          <xdr:rowOff>68580</xdr:rowOff>
        </xdr:to>
        <xdr:sp macro="" textlink="">
          <xdr:nvSpPr>
            <xdr:cNvPr id="45102" name="Caixa de seleção 85" hidden="1">
              <a:extLst>
                <a:ext uri="{63B3BB69-23CF-44E3-9099-C40C66FF867C}">
                  <a14:compatExt spid="_x0000_s45102"/>
                </a:ext>
                <a:ext uri="{FF2B5EF4-FFF2-40B4-BE49-F238E27FC236}">
                  <a16:creationId xmlns:a16="http://schemas.microsoft.com/office/drawing/2014/main" id="{00000000-0008-0000-0200-00002E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189</xdr:row>
          <xdr:rowOff>7620</xdr:rowOff>
        </xdr:from>
        <xdr:to>
          <xdr:col>9</xdr:col>
          <xdr:colOff>708660</xdr:colOff>
          <xdr:row>190</xdr:row>
          <xdr:rowOff>60960</xdr:rowOff>
        </xdr:to>
        <xdr:sp macro="" textlink="">
          <xdr:nvSpPr>
            <xdr:cNvPr id="45103" name="Caixa de seleção 86" hidden="1">
              <a:extLst>
                <a:ext uri="{63B3BB69-23CF-44E3-9099-C40C66FF867C}">
                  <a14:compatExt spid="_x0000_s45103"/>
                </a:ext>
                <a:ext uri="{FF2B5EF4-FFF2-40B4-BE49-F238E27FC236}">
                  <a16:creationId xmlns:a16="http://schemas.microsoft.com/office/drawing/2014/main" id="{00000000-0008-0000-0200-00002F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189</xdr:row>
          <xdr:rowOff>7620</xdr:rowOff>
        </xdr:from>
        <xdr:to>
          <xdr:col>11</xdr:col>
          <xdr:colOff>670560</xdr:colOff>
          <xdr:row>190</xdr:row>
          <xdr:rowOff>60960</xdr:rowOff>
        </xdr:to>
        <xdr:sp macro="" textlink="">
          <xdr:nvSpPr>
            <xdr:cNvPr id="45104" name="Caixa de seleção 87" hidden="1">
              <a:extLst>
                <a:ext uri="{63B3BB69-23CF-44E3-9099-C40C66FF867C}">
                  <a14:compatExt spid="_x0000_s45104"/>
                </a:ext>
                <a:ext uri="{FF2B5EF4-FFF2-40B4-BE49-F238E27FC236}">
                  <a16:creationId xmlns:a16="http://schemas.microsoft.com/office/drawing/2014/main" id="{00000000-0008-0000-0200-000030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198</xdr:row>
          <xdr:rowOff>167640</xdr:rowOff>
        </xdr:from>
        <xdr:to>
          <xdr:col>9</xdr:col>
          <xdr:colOff>693420</xdr:colOff>
          <xdr:row>200</xdr:row>
          <xdr:rowOff>60960</xdr:rowOff>
        </xdr:to>
        <xdr:sp macro="" textlink="">
          <xdr:nvSpPr>
            <xdr:cNvPr id="45105" name="Caixa de seleção 92" hidden="1">
              <a:extLst>
                <a:ext uri="{63B3BB69-23CF-44E3-9099-C40C66FF867C}">
                  <a14:compatExt spid="_x0000_s45105"/>
                </a:ext>
                <a:ext uri="{FF2B5EF4-FFF2-40B4-BE49-F238E27FC236}">
                  <a16:creationId xmlns:a16="http://schemas.microsoft.com/office/drawing/2014/main" id="{00000000-0008-0000-0200-00003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197</xdr:row>
          <xdr:rowOff>175260</xdr:rowOff>
        </xdr:from>
        <xdr:to>
          <xdr:col>9</xdr:col>
          <xdr:colOff>708660</xdr:colOff>
          <xdr:row>199</xdr:row>
          <xdr:rowOff>68580</xdr:rowOff>
        </xdr:to>
        <xdr:sp macro="" textlink="">
          <xdr:nvSpPr>
            <xdr:cNvPr id="45106" name="Caixa de seleção 93" hidden="1">
              <a:extLst>
                <a:ext uri="{63B3BB69-23CF-44E3-9099-C40C66FF867C}">
                  <a14:compatExt spid="_x0000_s45106"/>
                </a:ext>
                <a:ext uri="{FF2B5EF4-FFF2-40B4-BE49-F238E27FC236}">
                  <a16:creationId xmlns:a16="http://schemas.microsoft.com/office/drawing/2014/main" id="{00000000-0008-0000-0200-00003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197</xdr:row>
          <xdr:rowOff>175260</xdr:rowOff>
        </xdr:from>
        <xdr:to>
          <xdr:col>11</xdr:col>
          <xdr:colOff>693420</xdr:colOff>
          <xdr:row>199</xdr:row>
          <xdr:rowOff>68580</xdr:rowOff>
        </xdr:to>
        <xdr:sp macro="" textlink="">
          <xdr:nvSpPr>
            <xdr:cNvPr id="45107" name="Caixa de seleção 94" hidden="1">
              <a:extLst>
                <a:ext uri="{63B3BB69-23CF-44E3-9099-C40C66FF867C}">
                  <a14:compatExt spid="_x0000_s45107"/>
                </a:ext>
                <a:ext uri="{FF2B5EF4-FFF2-40B4-BE49-F238E27FC236}">
                  <a16:creationId xmlns:a16="http://schemas.microsoft.com/office/drawing/2014/main" id="{00000000-0008-0000-0200-00003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204</xdr:row>
          <xdr:rowOff>175260</xdr:rowOff>
        </xdr:from>
        <xdr:to>
          <xdr:col>9</xdr:col>
          <xdr:colOff>693420</xdr:colOff>
          <xdr:row>206</xdr:row>
          <xdr:rowOff>68580</xdr:rowOff>
        </xdr:to>
        <xdr:sp macro="" textlink="">
          <xdr:nvSpPr>
            <xdr:cNvPr id="45108" name="Caixa de seleção 95" hidden="1">
              <a:extLst>
                <a:ext uri="{63B3BB69-23CF-44E3-9099-C40C66FF867C}">
                  <a14:compatExt spid="_x0000_s45108"/>
                </a:ext>
                <a:ext uri="{FF2B5EF4-FFF2-40B4-BE49-F238E27FC236}">
                  <a16:creationId xmlns:a16="http://schemas.microsoft.com/office/drawing/2014/main" id="{00000000-0008-0000-0200-00003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203</xdr:row>
          <xdr:rowOff>175260</xdr:rowOff>
        </xdr:from>
        <xdr:to>
          <xdr:col>9</xdr:col>
          <xdr:colOff>708660</xdr:colOff>
          <xdr:row>205</xdr:row>
          <xdr:rowOff>68580</xdr:rowOff>
        </xdr:to>
        <xdr:sp macro="" textlink="">
          <xdr:nvSpPr>
            <xdr:cNvPr id="45109" name="Caixa de seleção 96" hidden="1">
              <a:extLst>
                <a:ext uri="{63B3BB69-23CF-44E3-9099-C40C66FF867C}">
                  <a14:compatExt spid="_x0000_s45109"/>
                </a:ext>
                <a:ext uri="{FF2B5EF4-FFF2-40B4-BE49-F238E27FC236}">
                  <a16:creationId xmlns:a16="http://schemas.microsoft.com/office/drawing/2014/main" id="{00000000-0008-0000-0200-000035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Lateralizada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203</xdr:row>
          <xdr:rowOff>175260</xdr:rowOff>
        </xdr:from>
        <xdr:to>
          <xdr:col>11</xdr:col>
          <xdr:colOff>693420</xdr:colOff>
          <xdr:row>205</xdr:row>
          <xdr:rowOff>68580</xdr:rowOff>
        </xdr:to>
        <xdr:sp macro="" textlink="">
          <xdr:nvSpPr>
            <xdr:cNvPr id="45110" name="Caixa de seleção 97" hidden="1">
              <a:extLst>
                <a:ext uri="{63B3BB69-23CF-44E3-9099-C40C66FF867C}">
                  <a14:compatExt spid="_x0000_s45110"/>
                </a:ext>
                <a:ext uri="{FF2B5EF4-FFF2-40B4-BE49-F238E27FC236}">
                  <a16:creationId xmlns:a16="http://schemas.microsoft.com/office/drawing/2014/main" id="{00000000-0008-0000-0200-00003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Medializada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193</xdr:row>
          <xdr:rowOff>175260</xdr:rowOff>
        </xdr:from>
        <xdr:to>
          <xdr:col>9</xdr:col>
          <xdr:colOff>693420</xdr:colOff>
          <xdr:row>195</xdr:row>
          <xdr:rowOff>68580</xdr:rowOff>
        </xdr:to>
        <xdr:sp macro="" textlink="">
          <xdr:nvSpPr>
            <xdr:cNvPr id="45111" name="Caixa de seleção 98" hidden="1">
              <a:extLst>
                <a:ext uri="{63B3BB69-23CF-44E3-9099-C40C66FF867C}">
                  <a14:compatExt spid="_x0000_s45111"/>
                </a:ext>
                <a:ext uri="{FF2B5EF4-FFF2-40B4-BE49-F238E27FC236}">
                  <a16:creationId xmlns:a16="http://schemas.microsoft.com/office/drawing/2014/main" id="{00000000-0008-0000-0200-000037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204</xdr:row>
          <xdr:rowOff>175260</xdr:rowOff>
        </xdr:from>
        <xdr:to>
          <xdr:col>3</xdr:col>
          <xdr:colOff>693420</xdr:colOff>
          <xdr:row>206</xdr:row>
          <xdr:rowOff>68580</xdr:rowOff>
        </xdr:to>
        <xdr:sp macro="" textlink="">
          <xdr:nvSpPr>
            <xdr:cNvPr id="45112" name="Caixa de seleção 104" hidden="1">
              <a:extLst>
                <a:ext uri="{63B3BB69-23CF-44E3-9099-C40C66FF867C}">
                  <a14:compatExt spid="_x0000_s45112"/>
                </a:ext>
                <a:ext uri="{FF2B5EF4-FFF2-40B4-BE49-F238E27FC236}">
                  <a16:creationId xmlns:a16="http://schemas.microsoft.com/office/drawing/2014/main" id="{00000000-0008-0000-0200-000038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129540</xdr:colOff>
          <xdr:row>203</xdr:row>
          <xdr:rowOff>175260</xdr:rowOff>
        </xdr:from>
        <xdr:to>
          <xdr:col>7</xdr:col>
          <xdr:colOff>7620</xdr:colOff>
          <xdr:row>205</xdr:row>
          <xdr:rowOff>68580</xdr:rowOff>
        </xdr:to>
        <xdr:sp macro="" textlink="">
          <xdr:nvSpPr>
            <xdr:cNvPr id="45113" name="Caixa de seleção 105" hidden="1">
              <a:extLst>
                <a:ext uri="{63B3BB69-23CF-44E3-9099-C40C66FF867C}">
                  <a14:compatExt spid="_x0000_s45113"/>
                </a:ext>
                <a:ext uri="{FF2B5EF4-FFF2-40B4-BE49-F238E27FC236}">
                  <a16:creationId xmlns:a16="http://schemas.microsoft.com/office/drawing/2014/main" id="{00000000-0008-0000-0200-000039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203</xdr:row>
          <xdr:rowOff>175260</xdr:rowOff>
        </xdr:from>
        <xdr:to>
          <xdr:col>4</xdr:col>
          <xdr:colOff>144780</xdr:colOff>
          <xdr:row>205</xdr:row>
          <xdr:rowOff>68580</xdr:rowOff>
        </xdr:to>
        <xdr:sp macro="" textlink="">
          <xdr:nvSpPr>
            <xdr:cNvPr id="45114" name="Caixa de seleção 106" hidden="1">
              <a:extLst>
                <a:ext uri="{63B3BB69-23CF-44E3-9099-C40C66FF867C}">
                  <a14:compatExt spid="_x0000_s45114"/>
                </a:ext>
                <a:ext uri="{FF2B5EF4-FFF2-40B4-BE49-F238E27FC236}">
                  <a16:creationId xmlns:a16="http://schemas.microsoft.com/office/drawing/2014/main" id="{00000000-0008-0000-0200-00003A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237320</xdr:colOff>
      <xdr:row>0</xdr:row>
      <xdr:rowOff>12213</xdr:rowOff>
    </xdr:from>
    <xdr:to>
      <xdr:col>16</xdr:col>
      <xdr:colOff>0</xdr:colOff>
      <xdr:row>5</xdr:row>
      <xdr:rowOff>79323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58800" y="12213"/>
          <a:ext cx="3572680" cy="1019610"/>
        </a:xfrm>
        <a:prstGeom prst="rect">
          <a:avLst/>
        </a:prstGeom>
      </xdr:spPr>
    </xdr:pic>
    <xdr:clientData/>
  </xdr:twoCellAnchor>
  <xdr:twoCellAnchor>
    <xdr:from>
      <xdr:col>86</xdr:col>
      <xdr:colOff>47625</xdr:colOff>
      <xdr:row>32</xdr:row>
      <xdr:rowOff>47625</xdr:rowOff>
    </xdr:from>
    <xdr:to>
      <xdr:col>88</xdr:col>
      <xdr:colOff>104775</xdr:colOff>
      <xdr:row>34</xdr:row>
      <xdr:rowOff>152399</xdr:rowOff>
    </xdr:to>
    <xdr:sp macro="" textlink="">
      <xdr:nvSpPr>
        <xdr:cNvPr id="92" name="Fluxograma: Processo alternativ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>
          <a:off x="8138160" y="566356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xdr:twoCellAnchor>
    <xdr:from>
      <xdr:col>126</xdr:col>
      <xdr:colOff>152400</xdr:colOff>
      <xdr:row>11</xdr:row>
      <xdr:rowOff>185736</xdr:rowOff>
    </xdr:from>
    <xdr:to>
      <xdr:col>133</xdr:col>
      <xdr:colOff>962025</xdr:colOff>
      <xdr:row>24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142</xdr:col>
      <xdr:colOff>390524</xdr:colOff>
      <xdr:row>19</xdr:row>
      <xdr:rowOff>109537</xdr:rowOff>
    </xdr:from>
    <xdr:to>
      <xdr:col>150</xdr:col>
      <xdr:colOff>28575</xdr:colOff>
      <xdr:row>41</xdr:row>
      <xdr:rowOff>76200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132</xdr:col>
      <xdr:colOff>57150</xdr:colOff>
      <xdr:row>29</xdr:row>
      <xdr:rowOff>47625</xdr:rowOff>
    </xdr:from>
    <xdr:to>
      <xdr:col>134</xdr:col>
      <xdr:colOff>114300</xdr:colOff>
      <xdr:row>31</xdr:row>
      <xdr:rowOff>152399</xdr:rowOff>
    </xdr:to>
    <xdr:sp macro="" textlink="">
      <xdr:nvSpPr>
        <xdr:cNvPr id="95" name="Fluxograma: Processo alternativ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8138160" y="511492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47</xdr:row>
          <xdr:rowOff>175260</xdr:rowOff>
        </xdr:from>
        <xdr:to>
          <xdr:col>13</xdr:col>
          <xdr:colOff>495300</xdr:colOff>
          <xdr:row>49</xdr:row>
          <xdr:rowOff>0</xdr:rowOff>
        </xdr:to>
        <xdr:sp macro="" textlink="">
          <xdr:nvSpPr>
            <xdr:cNvPr id="45115" name="Check Box 59" hidden="1">
              <a:extLst>
                <a:ext uri="{63B3BB69-23CF-44E3-9099-C40C66FF867C}">
                  <a14:compatExt spid="_x0000_s45115"/>
                </a:ext>
                <a:ext uri="{FF2B5EF4-FFF2-40B4-BE49-F238E27FC236}">
                  <a16:creationId xmlns:a16="http://schemas.microsoft.com/office/drawing/2014/main" id="{00000000-0008-0000-0200-00003B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47</xdr:row>
          <xdr:rowOff>175260</xdr:rowOff>
        </xdr:from>
        <xdr:to>
          <xdr:col>14</xdr:col>
          <xdr:colOff>0</xdr:colOff>
          <xdr:row>49</xdr:row>
          <xdr:rowOff>38100</xdr:rowOff>
        </xdr:to>
        <xdr:sp macro="" textlink="">
          <xdr:nvSpPr>
            <xdr:cNvPr id="45116" name="Check Box 60" hidden="1">
              <a:extLst>
                <a:ext uri="{63B3BB69-23CF-44E3-9099-C40C66FF867C}">
                  <a14:compatExt spid="_x0000_s45116"/>
                </a:ext>
                <a:ext uri="{FF2B5EF4-FFF2-40B4-BE49-F238E27FC236}">
                  <a16:creationId xmlns:a16="http://schemas.microsoft.com/office/drawing/2014/main" id="{00000000-0008-0000-0200-00003C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53340</xdr:rowOff>
        </xdr:from>
        <xdr:to>
          <xdr:col>13</xdr:col>
          <xdr:colOff>495300</xdr:colOff>
          <xdr:row>52</xdr:row>
          <xdr:rowOff>38100</xdr:rowOff>
        </xdr:to>
        <xdr:sp macro="" textlink="">
          <xdr:nvSpPr>
            <xdr:cNvPr id="45117" name="Check Box 61" hidden="1">
              <a:extLst>
                <a:ext uri="{63B3BB69-23CF-44E3-9099-C40C66FF867C}">
                  <a14:compatExt spid="_x0000_s45117"/>
                </a:ext>
                <a:ext uri="{FF2B5EF4-FFF2-40B4-BE49-F238E27FC236}">
                  <a16:creationId xmlns:a16="http://schemas.microsoft.com/office/drawing/2014/main" id="{00000000-0008-0000-0200-00003D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50</xdr:row>
          <xdr:rowOff>53340</xdr:rowOff>
        </xdr:from>
        <xdr:to>
          <xdr:col>14</xdr:col>
          <xdr:colOff>0</xdr:colOff>
          <xdr:row>52</xdr:row>
          <xdr:rowOff>38100</xdr:rowOff>
        </xdr:to>
        <xdr:sp macro="" textlink="">
          <xdr:nvSpPr>
            <xdr:cNvPr id="45118" name="Check Box 62" hidden="1">
              <a:extLst>
                <a:ext uri="{63B3BB69-23CF-44E3-9099-C40C66FF867C}">
                  <a14:compatExt spid="_x0000_s45118"/>
                </a:ext>
                <a:ext uri="{FF2B5EF4-FFF2-40B4-BE49-F238E27FC236}">
                  <a16:creationId xmlns:a16="http://schemas.microsoft.com/office/drawing/2014/main" id="{00000000-0008-0000-0200-00003E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45720</xdr:rowOff>
        </xdr:from>
        <xdr:to>
          <xdr:col>13</xdr:col>
          <xdr:colOff>495300</xdr:colOff>
          <xdr:row>54</xdr:row>
          <xdr:rowOff>38100</xdr:rowOff>
        </xdr:to>
        <xdr:sp macro="" textlink="">
          <xdr:nvSpPr>
            <xdr:cNvPr id="45119" name="Check Box 63" hidden="1">
              <a:extLst>
                <a:ext uri="{63B3BB69-23CF-44E3-9099-C40C66FF867C}">
                  <a14:compatExt spid="_x0000_s45119"/>
                </a:ext>
                <a:ext uri="{FF2B5EF4-FFF2-40B4-BE49-F238E27FC236}">
                  <a16:creationId xmlns:a16="http://schemas.microsoft.com/office/drawing/2014/main" id="{00000000-0008-0000-0200-00003F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52</xdr:row>
          <xdr:rowOff>45720</xdr:rowOff>
        </xdr:from>
        <xdr:to>
          <xdr:col>14</xdr:col>
          <xdr:colOff>0</xdr:colOff>
          <xdr:row>54</xdr:row>
          <xdr:rowOff>38100</xdr:rowOff>
        </xdr:to>
        <xdr:sp macro="" textlink="">
          <xdr:nvSpPr>
            <xdr:cNvPr id="45120" name="Check Box 64" hidden="1">
              <a:extLst>
                <a:ext uri="{63B3BB69-23CF-44E3-9099-C40C66FF867C}">
                  <a14:compatExt spid="_x0000_s45120"/>
                </a:ext>
                <a:ext uri="{FF2B5EF4-FFF2-40B4-BE49-F238E27FC236}">
                  <a16:creationId xmlns:a16="http://schemas.microsoft.com/office/drawing/2014/main" id="{00000000-0008-0000-0200-000040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54</xdr:row>
          <xdr:rowOff>53340</xdr:rowOff>
        </xdr:from>
        <xdr:to>
          <xdr:col>13</xdr:col>
          <xdr:colOff>495300</xdr:colOff>
          <xdr:row>56</xdr:row>
          <xdr:rowOff>0</xdr:rowOff>
        </xdr:to>
        <xdr:sp macro="" textlink="">
          <xdr:nvSpPr>
            <xdr:cNvPr id="45121" name="Check Box 65" hidden="1">
              <a:extLst>
                <a:ext uri="{63B3BB69-23CF-44E3-9099-C40C66FF867C}">
                  <a14:compatExt spid="_x0000_s45121"/>
                </a:ext>
                <a:ext uri="{FF2B5EF4-FFF2-40B4-BE49-F238E27FC236}">
                  <a16:creationId xmlns:a16="http://schemas.microsoft.com/office/drawing/2014/main" id="{00000000-0008-0000-0200-00004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54</xdr:row>
          <xdr:rowOff>53340</xdr:rowOff>
        </xdr:from>
        <xdr:to>
          <xdr:col>14</xdr:col>
          <xdr:colOff>0</xdr:colOff>
          <xdr:row>56</xdr:row>
          <xdr:rowOff>38100</xdr:rowOff>
        </xdr:to>
        <xdr:sp macro="" textlink="">
          <xdr:nvSpPr>
            <xdr:cNvPr id="45122" name="Check Box 66" hidden="1">
              <a:extLst>
                <a:ext uri="{63B3BB69-23CF-44E3-9099-C40C66FF867C}">
                  <a14:compatExt spid="_x0000_s45122"/>
                </a:ext>
                <a:ext uri="{FF2B5EF4-FFF2-40B4-BE49-F238E27FC236}">
                  <a16:creationId xmlns:a16="http://schemas.microsoft.com/office/drawing/2014/main" id="{00000000-0008-0000-0200-00004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56</xdr:row>
          <xdr:rowOff>53340</xdr:rowOff>
        </xdr:from>
        <xdr:to>
          <xdr:col>13</xdr:col>
          <xdr:colOff>495300</xdr:colOff>
          <xdr:row>58</xdr:row>
          <xdr:rowOff>38100</xdr:rowOff>
        </xdr:to>
        <xdr:sp macro="" textlink="">
          <xdr:nvSpPr>
            <xdr:cNvPr id="45123" name="Check Box 67" hidden="1">
              <a:extLst>
                <a:ext uri="{63B3BB69-23CF-44E3-9099-C40C66FF867C}">
                  <a14:compatExt spid="_x0000_s45123"/>
                </a:ext>
                <a:ext uri="{FF2B5EF4-FFF2-40B4-BE49-F238E27FC236}">
                  <a16:creationId xmlns:a16="http://schemas.microsoft.com/office/drawing/2014/main" id="{00000000-0008-0000-0200-00004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56</xdr:row>
          <xdr:rowOff>53340</xdr:rowOff>
        </xdr:from>
        <xdr:to>
          <xdr:col>14</xdr:col>
          <xdr:colOff>0</xdr:colOff>
          <xdr:row>58</xdr:row>
          <xdr:rowOff>38100</xdr:rowOff>
        </xdr:to>
        <xdr:sp macro="" textlink="">
          <xdr:nvSpPr>
            <xdr:cNvPr id="45124" name="Check Box 68" hidden="1">
              <a:extLst>
                <a:ext uri="{63B3BB69-23CF-44E3-9099-C40C66FF867C}">
                  <a14:compatExt spid="_x0000_s45124"/>
                </a:ext>
                <a:ext uri="{FF2B5EF4-FFF2-40B4-BE49-F238E27FC236}">
                  <a16:creationId xmlns:a16="http://schemas.microsoft.com/office/drawing/2014/main" id="{00000000-0008-0000-0200-00004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59</xdr:row>
          <xdr:rowOff>53340</xdr:rowOff>
        </xdr:from>
        <xdr:to>
          <xdr:col>13</xdr:col>
          <xdr:colOff>495300</xdr:colOff>
          <xdr:row>61</xdr:row>
          <xdr:rowOff>0</xdr:rowOff>
        </xdr:to>
        <xdr:sp macro="" textlink="">
          <xdr:nvSpPr>
            <xdr:cNvPr id="45125" name="Check Box 69" hidden="1">
              <a:extLst>
                <a:ext uri="{63B3BB69-23CF-44E3-9099-C40C66FF867C}">
                  <a14:compatExt spid="_x0000_s45125"/>
                </a:ext>
                <a:ext uri="{FF2B5EF4-FFF2-40B4-BE49-F238E27FC236}">
                  <a16:creationId xmlns:a16="http://schemas.microsoft.com/office/drawing/2014/main" id="{00000000-0008-0000-0200-000045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59</xdr:row>
          <xdr:rowOff>53340</xdr:rowOff>
        </xdr:from>
        <xdr:to>
          <xdr:col>14</xdr:col>
          <xdr:colOff>0</xdr:colOff>
          <xdr:row>61</xdr:row>
          <xdr:rowOff>38100</xdr:rowOff>
        </xdr:to>
        <xdr:sp macro="" textlink="">
          <xdr:nvSpPr>
            <xdr:cNvPr id="45126" name="Check Box 70" hidden="1">
              <a:extLst>
                <a:ext uri="{63B3BB69-23CF-44E3-9099-C40C66FF867C}">
                  <a14:compatExt spid="_x0000_s45126"/>
                </a:ext>
                <a:ext uri="{FF2B5EF4-FFF2-40B4-BE49-F238E27FC236}">
                  <a16:creationId xmlns:a16="http://schemas.microsoft.com/office/drawing/2014/main" id="{00000000-0008-0000-0200-00004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62</xdr:row>
          <xdr:rowOff>53340</xdr:rowOff>
        </xdr:from>
        <xdr:to>
          <xdr:col>13</xdr:col>
          <xdr:colOff>495300</xdr:colOff>
          <xdr:row>64</xdr:row>
          <xdr:rowOff>38100</xdr:rowOff>
        </xdr:to>
        <xdr:sp macro="" textlink="">
          <xdr:nvSpPr>
            <xdr:cNvPr id="45127" name="Check Box 71" hidden="1">
              <a:extLst>
                <a:ext uri="{63B3BB69-23CF-44E3-9099-C40C66FF867C}">
                  <a14:compatExt spid="_x0000_s45127"/>
                </a:ext>
                <a:ext uri="{FF2B5EF4-FFF2-40B4-BE49-F238E27FC236}">
                  <a16:creationId xmlns:a16="http://schemas.microsoft.com/office/drawing/2014/main" id="{00000000-0008-0000-0200-000047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62</xdr:row>
          <xdr:rowOff>53340</xdr:rowOff>
        </xdr:from>
        <xdr:to>
          <xdr:col>14</xdr:col>
          <xdr:colOff>0</xdr:colOff>
          <xdr:row>64</xdr:row>
          <xdr:rowOff>38100</xdr:rowOff>
        </xdr:to>
        <xdr:sp macro="" textlink="">
          <xdr:nvSpPr>
            <xdr:cNvPr id="45128" name="Check Box 72" hidden="1">
              <a:extLst>
                <a:ext uri="{63B3BB69-23CF-44E3-9099-C40C66FF867C}">
                  <a14:compatExt spid="_x0000_s45128"/>
                </a:ext>
                <a:ext uri="{FF2B5EF4-FFF2-40B4-BE49-F238E27FC236}">
                  <a16:creationId xmlns:a16="http://schemas.microsoft.com/office/drawing/2014/main" id="{00000000-0008-0000-0200-000048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938348</xdr:colOff>
      <xdr:row>102</xdr:row>
      <xdr:rowOff>22859</xdr:rowOff>
    </xdr:from>
    <xdr:to>
      <xdr:col>16</xdr:col>
      <xdr:colOff>76195</xdr:colOff>
      <xdr:row>114</xdr:row>
      <xdr:rowOff>34013</xdr:rowOff>
    </xdr:to>
    <xdr:grpSp>
      <xdr:nvGrpSpPr>
        <xdr:cNvPr id="110" name="Agrupar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GrpSpPr/>
      </xdr:nvGrpSpPr>
      <xdr:grpSpPr>
        <a:xfrm>
          <a:off x="5157923" y="17491709"/>
          <a:ext cx="2957372" cy="2182854"/>
          <a:chOff x="5249487" y="17791734"/>
          <a:chExt cx="3245645" cy="2365535"/>
        </a:xfrm>
      </xdr:grpSpPr>
      <xdr:grpSp>
        <xdr:nvGrpSpPr>
          <xdr:cNvPr id="111" name="Grupo 1">
            <a:extLst>
              <a:ext uri="{FF2B5EF4-FFF2-40B4-BE49-F238E27FC236}">
                <a16:creationId xmlns:a16="http://schemas.microsoft.com/office/drawing/2014/main" id="{00000000-0008-0000-0200-00006F000000}"/>
              </a:ext>
            </a:extLst>
          </xdr:cNvPr>
          <xdr:cNvGrpSpPr/>
        </xdr:nvGrpSpPr>
        <xdr:grpSpPr>
          <a:xfrm>
            <a:off x="5358607" y="17791734"/>
            <a:ext cx="3136525" cy="2365535"/>
            <a:chOff x="12007892" y="28838754"/>
            <a:chExt cx="3028012" cy="2412519"/>
          </a:xfrm>
        </xdr:grpSpPr>
        <xdr:pic>
          <xdr:nvPicPr>
            <xdr:cNvPr id="116" name="Imagem 2" descr="ist2_426832_human_anatomy_male_muscles.jpg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48386" y="28967655"/>
              <a:ext cx="2595563" cy="2283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200-000075000000}"/>
                </a:ext>
              </a:extLst>
            </xdr:cNvPr>
            <xdr:cNvSpPr txBox="1"/>
          </xdr:nvSpPr>
          <xdr:spPr>
            <a:xfrm>
              <a:off x="12007892" y="28838754"/>
              <a:ext cx="759619" cy="2405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Peitoral</a:t>
              </a:r>
            </a:p>
          </xdr:txBody>
        </xdr:sp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 txBox="1"/>
          </xdr:nvSpPr>
          <xdr:spPr>
            <a:xfrm>
              <a:off x="13051520" y="29284247"/>
              <a:ext cx="805957" cy="1545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Abdominal</a:t>
              </a:r>
            </a:p>
          </xdr:txBody>
        </xdr:sp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 txBox="1"/>
          </xdr:nvSpPr>
          <xdr:spPr>
            <a:xfrm>
              <a:off x="12100761" y="30327349"/>
              <a:ext cx="528638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Coxa</a:t>
              </a:r>
            </a:p>
          </xdr:txBody>
        </xdr:sp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 txBox="1"/>
          </xdr:nvSpPr>
          <xdr:spPr>
            <a:xfrm>
              <a:off x="14331991" y="29274836"/>
              <a:ext cx="631016" cy="2056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Tríceps</a:t>
              </a:r>
            </a:p>
          </xdr:txBody>
        </xdr:sp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 txBox="1"/>
          </xdr:nvSpPr>
          <xdr:spPr>
            <a:xfrm>
              <a:off x="14081961" y="28900980"/>
              <a:ext cx="953943" cy="2628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Subescapular</a:t>
              </a:r>
            </a:p>
          </xdr:txBody>
        </xdr:sp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 txBox="1"/>
          </xdr:nvSpPr>
          <xdr:spPr>
            <a:xfrm rot="17626162">
              <a:off x="11849474" y="29464643"/>
              <a:ext cx="802469" cy="3413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Supra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ilíaca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3" name="Conector de seta reta 44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CxnSpPr>
              <a:stCxn id="121" idx="2"/>
            </xdr:cNvCxnSpPr>
          </xdr:nvCxnSpPr>
          <xdr:spPr>
            <a:xfrm flipH="1">
              <a:off x="14158162" y="29163795"/>
              <a:ext cx="400771" cy="42774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4" name="Conector de seta reta 45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CxnSpPr>
              <a:stCxn id="120" idx="2"/>
            </xdr:cNvCxnSpPr>
          </xdr:nvCxnSpPr>
          <xdr:spPr>
            <a:xfrm flipH="1">
              <a:off x="14360568" y="29480504"/>
              <a:ext cx="286932" cy="11103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5" name="Conector de seta reta 47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CxnSpPr>
              <a:stCxn id="119" idx="0"/>
            </xdr:cNvCxnSpPr>
          </xdr:nvCxnSpPr>
          <xdr:spPr>
            <a:xfrm rot="5400000" flipH="1" flipV="1">
              <a:off x="12492476" y="30133277"/>
              <a:ext cx="66676" cy="32146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6" name="Conector de seta reta 49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CxnSpPr/>
          </xdr:nvCxnSpPr>
          <xdr:spPr>
            <a:xfrm>
              <a:off x="12369997" y="29758122"/>
              <a:ext cx="313947" cy="13810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7" name="Conector de seta reta 50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CxnSpPr/>
          </xdr:nvCxnSpPr>
          <xdr:spPr>
            <a:xfrm flipH="1">
              <a:off x="12809848" y="29514787"/>
              <a:ext cx="458897" cy="321742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8" name="Conector de seta reta 51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CxnSpPr/>
          </xdr:nvCxnSpPr>
          <xdr:spPr>
            <a:xfrm flipH="1">
              <a:off x="12697251" y="29208160"/>
              <a:ext cx="565561" cy="398401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9" name="Conector de seta reta 52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CxnSpPr/>
          </xdr:nvCxnSpPr>
          <xdr:spPr>
            <a:xfrm>
              <a:off x="12375896" y="29055422"/>
              <a:ext cx="306342" cy="43218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30" name="CaixaDeTexto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 txBox="1"/>
          </xdr:nvSpPr>
          <xdr:spPr>
            <a:xfrm>
              <a:off x="13065745" y="28855423"/>
              <a:ext cx="835819" cy="3656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Axilar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média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</xdr:grpSp>
      <xdr:cxnSp macro="">
        <xdr:nvCxnSpPr>
          <xdr:cNvPr id="112" name="Conector de seta reta 47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CxnSpPr/>
        </xdr:nvCxnSpPr>
        <xdr:spPr>
          <a:xfrm flipH="1">
            <a:off x="6088224" y="19508755"/>
            <a:ext cx="575388" cy="202163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3" name="CaixaDeTexto 112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SpPr txBox="1"/>
        </xdr:nvSpPr>
        <xdr:spPr>
          <a:xfrm>
            <a:off x="6431412" y="19267075"/>
            <a:ext cx="865772" cy="137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Panturrilha</a:t>
            </a:r>
          </a:p>
        </xdr:txBody>
      </xdr:sp>
      <xdr:cxnSp macro="">
        <xdr:nvCxnSpPr>
          <xdr:cNvPr id="114" name="Conector de seta reta 52">
            <a:extLst>
              <a:ext uri="{FF2B5EF4-FFF2-40B4-BE49-F238E27FC236}">
                <a16:creationId xmlns:a16="http://schemas.microsoft.com/office/drawing/2014/main" id="{00000000-0008-0000-0200-000072000000}"/>
              </a:ext>
            </a:extLst>
          </xdr:cNvPr>
          <xdr:cNvCxnSpPr/>
        </xdr:nvCxnSpPr>
        <xdr:spPr>
          <a:xfrm>
            <a:off x="5722776" y="18272449"/>
            <a:ext cx="224279" cy="286285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5" name="CaixaDeTexto 114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SpPr txBox="1"/>
        </xdr:nvSpPr>
        <xdr:spPr>
          <a:xfrm>
            <a:off x="5249487" y="18100992"/>
            <a:ext cx="786841" cy="23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Bíceps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184</xdr:row>
          <xdr:rowOff>182880</xdr:rowOff>
        </xdr:from>
        <xdr:to>
          <xdr:col>7</xdr:col>
          <xdr:colOff>571500</xdr:colOff>
          <xdr:row>186</xdr:row>
          <xdr:rowOff>60960</xdr:rowOff>
        </xdr:to>
        <xdr:sp macro="" textlink="">
          <xdr:nvSpPr>
            <xdr:cNvPr id="45129" name="Caixa de seleção 112" hidden="1">
              <a:extLst>
                <a:ext uri="{63B3BB69-23CF-44E3-9099-C40C66FF867C}">
                  <a14:compatExt spid="_x0000_s45129"/>
                </a:ext>
                <a:ext uri="{FF2B5EF4-FFF2-40B4-BE49-F238E27FC236}">
                  <a16:creationId xmlns:a16="http://schemas.microsoft.com/office/drawing/2014/main" id="{00000000-0008-0000-0200-000049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190</xdr:row>
          <xdr:rowOff>0</xdr:rowOff>
        </xdr:from>
        <xdr:to>
          <xdr:col>9</xdr:col>
          <xdr:colOff>685800</xdr:colOff>
          <xdr:row>191</xdr:row>
          <xdr:rowOff>60960</xdr:rowOff>
        </xdr:to>
        <xdr:sp macro="" textlink="">
          <xdr:nvSpPr>
            <xdr:cNvPr id="45130" name="Caixa de seleção 112" hidden="1">
              <a:extLst>
                <a:ext uri="{63B3BB69-23CF-44E3-9099-C40C66FF867C}">
                  <a14:compatExt spid="_x0000_s45130"/>
                </a:ext>
                <a:ext uri="{FF2B5EF4-FFF2-40B4-BE49-F238E27FC236}">
                  <a16:creationId xmlns:a16="http://schemas.microsoft.com/office/drawing/2014/main" id="{00000000-0008-0000-0200-00004A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7776</xdr:colOff>
      <xdr:row>170</xdr:row>
      <xdr:rowOff>177436</xdr:rowOff>
    </xdr:from>
    <xdr:to>
      <xdr:col>12</xdr:col>
      <xdr:colOff>7774</xdr:colOff>
      <xdr:row>186</xdr:row>
      <xdr:rowOff>72369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496" y="24797656"/>
          <a:ext cx="1188718" cy="21733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170</xdr:row>
      <xdr:rowOff>178837</xdr:rowOff>
    </xdr:from>
    <xdr:to>
      <xdr:col>15</xdr:col>
      <xdr:colOff>15551</xdr:colOff>
      <xdr:row>186</xdr:row>
      <xdr:rowOff>61483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320" y="24799057"/>
          <a:ext cx="1204271" cy="2161026"/>
        </a:xfrm>
        <a:prstGeom prst="rect">
          <a:avLst/>
        </a:prstGeom>
      </xdr:spPr>
    </xdr:pic>
    <xdr:clientData/>
  </xdr:twoCellAnchor>
  <xdr:twoCellAnchor editAs="oneCell">
    <xdr:from>
      <xdr:col>6</xdr:col>
      <xdr:colOff>89728</xdr:colOff>
      <xdr:row>189</xdr:row>
      <xdr:rowOff>4666</xdr:rowOff>
    </xdr:from>
    <xdr:to>
      <xdr:col>8</xdr:col>
      <xdr:colOff>11039</xdr:colOff>
      <xdr:row>204</xdr:row>
      <xdr:rowOff>68792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168" y="27429046"/>
          <a:ext cx="1201471" cy="2144386"/>
        </a:xfrm>
        <a:prstGeom prst="rect">
          <a:avLst/>
        </a:prstGeom>
      </xdr:spPr>
    </xdr:pic>
    <xdr:clientData/>
  </xdr:twoCellAnchor>
  <xdr:twoCellAnchor editAs="oneCell">
    <xdr:from>
      <xdr:col>12</xdr:col>
      <xdr:colOff>180392</xdr:colOff>
      <xdr:row>189</xdr:row>
      <xdr:rowOff>9332</xdr:rowOff>
    </xdr:from>
    <xdr:to>
      <xdr:col>15</xdr:col>
      <xdr:colOff>9331</xdr:colOff>
      <xdr:row>204</xdr:row>
      <xdr:rowOff>73458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832" y="27433712"/>
          <a:ext cx="1200539" cy="21443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199</xdr:row>
          <xdr:rowOff>7620</xdr:rowOff>
        </xdr:from>
        <xdr:to>
          <xdr:col>5</xdr:col>
          <xdr:colOff>708660</xdr:colOff>
          <xdr:row>200</xdr:row>
          <xdr:rowOff>60960</xdr:rowOff>
        </xdr:to>
        <xdr:sp macro="" textlink="">
          <xdr:nvSpPr>
            <xdr:cNvPr id="45131" name="Caixa de seleção 68" hidden="1">
              <a:extLst>
                <a:ext uri="{63B3BB69-23CF-44E3-9099-C40C66FF867C}">
                  <a14:compatExt spid="_x0000_s45131"/>
                </a:ext>
                <a:ext uri="{FF2B5EF4-FFF2-40B4-BE49-F238E27FC236}">
                  <a16:creationId xmlns:a16="http://schemas.microsoft.com/office/drawing/2014/main" id="{00000000-0008-0000-0200-00004B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845820</xdr:colOff>
          <xdr:row>211</xdr:row>
          <xdr:rowOff>0</xdr:rowOff>
        </xdr:from>
        <xdr:to>
          <xdr:col>7</xdr:col>
          <xdr:colOff>403860</xdr:colOff>
          <xdr:row>212</xdr:row>
          <xdr:rowOff>60960</xdr:rowOff>
        </xdr:to>
        <xdr:sp macro="" textlink="">
          <xdr:nvSpPr>
            <xdr:cNvPr id="45132" name="Caixa de seleção 82" hidden="1">
              <a:extLst>
                <a:ext uri="{63B3BB69-23CF-44E3-9099-C40C66FF867C}">
                  <a14:compatExt spid="_x0000_s45132"/>
                </a:ext>
                <a:ext uri="{FF2B5EF4-FFF2-40B4-BE49-F238E27FC236}">
                  <a16:creationId xmlns:a16="http://schemas.microsoft.com/office/drawing/2014/main" id="{00000000-0008-0000-0200-00004C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Supinado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192</xdr:row>
          <xdr:rowOff>175260</xdr:rowOff>
        </xdr:from>
        <xdr:to>
          <xdr:col>10</xdr:col>
          <xdr:colOff>38100</xdr:colOff>
          <xdr:row>194</xdr:row>
          <xdr:rowOff>68580</xdr:rowOff>
        </xdr:to>
        <xdr:sp macro="" textlink="">
          <xdr:nvSpPr>
            <xdr:cNvPr id="45133" name="Caixa de seleção 99" hidden="1">
              <a:extLst>
                <a:ext uri="{63B3BB69-23CF-44E3-9099-C40C66FF867C}">
                  <a14:compatExt spid="_x0000_s45133"/>
                </a:ext>
                <a:ext uri="{FF2B5EF4-FFF2-40B4-BE49-F238E27FC236}">
                  <a16:creationId xmlns:a16="http://schemas.microsoft.com/office/drawing/2014/main" id="{00000000-0008-0000-0200-00004D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192</xdr:row>
          <xdr:rowOff>175260</xdr:rowOff>
        </xdr:from>
        <xdr:to>
          <xdr:col>12</xdr:col>
          <xdr:colOff>144780</xdr:colOff>
          <xdr:row>194</xdr:row>
          <xdr:rowOff>68580</xdr:rowOff>
        </xdr:to>
        <xdr:sp macro="" textlink="">
          <xdr:nvSpPr>
            <xdr:cNvPr id="45134" name="Caixa de seleção 100" hidden="1">
              <a:extLst>
                <a:ext uri="{63B3BB69-23CF-44E3-9099-C40C66FF867C}">
                  <a14:compatExt spid="_x0000_s45134"/>
                </a:ext>
                <a:ext uri="{FF2B5EF4-FFF2-40B4-BE49-F238E27FC236}">
                  <a16:creationId xmlns:a16="http://schemas.microsoft.com/office/drawing/2014/main" id="{00000000-0008-0000-0200-00004E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99060</xdr:colOff>
      <xdr:row>103</xdr:row>
      <xdr:rowOff>49530</xdr:rowOff>
    </xdr:from>
    <xdr:to>
      <xdr:col>9</xdr:col>
      <xdr:colOff>982980</xdr:colOff>
      <xdr:row>112</xdr:row>
      <xdr:rowOff>129540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30480</xdr:colOff>
      <xdr:row>103</xdr:row>
      <xdr:rowOff>41910</xdr:rowOff>
    </xdr:from>
    <xdr:to>
      <xdr:col>6</xdr:col>
      <xdr:colOff>83820</xdr:colOff>
      <xdr:row>112</xdr:row>
      <xdr:rowOff>121920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148</xdr:row>
      <xdr:rowOff>142875</xdr:rowOff>
    </xdr:from>
    <xdr:to>
      <xdr:col>3</xdr:col>
      <xdr:colOff>758960</xdr:colOff>
      <xdr:row>153</xdr:row>
      <xdr:rowOff>117180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21494115"/>
          <a:ext cx="587509" cy="88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153</xdr:row>
      <xdr:rowOff>171450</xdr:rowOff>
    </xdr:from>
    <xdr:to>
      <xdr:col>3</xdr:col>
      <xdr:colOff>765729</xdr:colOff>
      <xdr:row>158</xdr:row>
      <xdr:rowOff>116841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1" y="22437090"/>
          <a:ext cx="632378" cy="85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158</xdr:row>
      <xdr:rowOff>142875</xdr:rowOff>
    </xdr:from>
    <xdr:to>
      <xdr:col>3</xdr:col>
      <xdr:colOff>796424</xdr:colOff>
      <xdr:row>162</xdr:row>
      <xdr:rowOff>155036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23322915"/>
          <a:ext cx="682124" cy="7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90736</xdr:colOff>
      <xdr:row>278</xdr:row>
      <xdr:rowOff>100265</xdr:rowOff>
    </xdr:from>
    <xdr:to>
      <xdr:col>5</xdr:col>
      <xdr:colOff>491557</xdr:colOff>
      <xdr:row>284</xdr:row>
      <xdr:rowOff>73272</xdr:rowOff>
    </xdr:to>
    <xdr:pic>
      <xdr:nvPicPr>
        <xdr:cNvPr id="5" name="Imagem 61" descr="flexao de braço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16" y="42688445"/>
          <a:ext cx="1589541" cy="1093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80213</xdr:colOff>
      <xdr:row>269</xdr:row>
      <xdr:rowOff>160417</xdr:rowOff>
    </xdr:from>
    <xdr:to>
      <xdr:col>5</xdr:col>
      <xdr:colOff>879141</xdr:colOff>
      <xdr:row>275</xdr:row>
      <xdr:rowOff>73165</xdr:rowOff>
    </xdr:to>
    <xdr:pic>
      <xdr:nvPicPr>
        <xdr:cNvPr id="6" name="Imagem 62" descr="abdominal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7"/>
        <a:stretch/>
      </xdr:blipFill>
      <xdr:spPr bwMode="auto">
        <a:xfrm>
          <a:off x="545033" y="41079817"/>
          <a:ext cx="2086708" cy="103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90639</xdr:colOff>
      <xdr:row>82</xdr:row>
      <xdr:rowOff>58556</xdr:rowOff>
    </xdr:from>
    <xdr:to>
      <xdr:col>15</xdr:col>
      <xdr:colOff>8020</xdr:colOff>
      <xdr:row>96</xdr:row>
      <xdr:rowOff>81016</xdr:rowOff>
    </xdr:to>
    <xdr:grpSp>
      <xdr:nvGrpSpPr>
        <xdr:cNvPr id="7" name="Grupo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6662889" y="13850756"/>
          <a:ext cx="1288981" cy="2594210"/>
          <a:chOff x="8091237" y="5313948"/>
          <a:chExt cx="1843521" cy="3157970"/>
        </a:xfrm>
      </xdr:grpSpPr>
      <xdr:grpSp>
        <xdr:nvGrpSpPr>
          <xdr:cNvPr id="8" name="Grupo 2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/>
        </xdr:nvGrpSpPr>
        <xdr:grpSpPr>
          <a:xfrm>
            <a:off x="8091237" y="5313948"/>
            <a:ext cx="1843521" cy="3157970"/>
            <a:chOff x="8813132" y="5514474"/>
            <a:chExt cx="1843521" cy="3157970"/>
          </a:xfrm>
        </xdr:grpSpPr>
        <xdr:pic>
          <xdr:nvPicPr>
            <xdr:cNvPr id="11" name="Imagem 1" descr="masculino_frente.jpg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13132" y="5514474"/>
              <a:ext cx="1843521" cy="31579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" name="Seta para a esquerda e para a direita 114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/>
          </xdr:nvSpPr>
          <xdr:spPr>
            <a:xfrm>
              <a:off x="9439185" y="7016827"/>
              <a:ext cx="648565" cy="95250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3" name="Seta para a esquerda e para a direita 115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/>
          </xdr:nvSpPr>
          <xdr:spPr>
            <a:xfrm>
              <a:off x="9490273" y="6217592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4" name="Seta para a esquerda e para a direita 116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/>
          </xdr:nvSpPr>
          <xdr:spPr>
            <a:xfrm>
              <a:off x="9490273" y="6508358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5" name="Seta para a esquerda e para a direita 117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/>
          </xdr:nvSpPr>
          <xdr:spPr>
            <a:xfrm rot="19807583">
              <a:off x="10149931" y="663444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6" name="Seta para a esquerda e para a direita 118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/>
          </xdr:nvSpPr>
          <xdr:spPr>
            <a:xfrm rot="19807583">
              <a:off x="10041837" y="639439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7" name="Seta para a esquerda e para a direita 119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/>
          </xdr:nvSpPr>
          <xdr:spPr>
            <a:xfrm rot="1606633">
              <a:off x="9189784" y="6624919"/>
              <a:ext cx="196781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8" name="Seta para a esquerda e para a direita 120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/>
          </xdr:nvSpPr>
          <xdr:spPr>
            <a:xfrm rot="1606633">
              <a:off x="9282932" y="6404880"/>
              <a:ext cx="191819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9" name="Seta para a esquerda e para a direita 121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/>
          </xdr:nvSpPr>
          <xdr:spPr>
            <a:xfrm>
              <a:off x="9410037" y="7305356"/>
              <a:ext cx="341801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0" name="Seta para a esquerda e para a direita 122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/>
          </xdr:nvSpPr>
          <xdr:spPr>
            <a:xfrm>
              <a:off x="9797108" y="7302573"/>
              <a:ext cx="336838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1" name="Seta para a esquerda e para a direita 123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/>
          </xdr:nvSpPr>
          <xdr:spPr>
            <a:xfrm>
              <a:off x="9951258" y="7919450"/>
              <a:ext cx="256464" cy="8582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2" name="Seta para a esquerda e para a direita 124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/>
          </xdr:nvSpPr>
          <xdr:spPr>
            <a:xfrm>
              <a:off x="9387385" y="7941282"/>
              <a:ext cx="256465" cy="87967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3" name="Heptágono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/>
          </xdr:nvSpPr>
          <xdr:spPr>
            <a:xfrm>
              <a:off x="9661723" y="6198542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1000"/>
                <a:t>2</a:t>
              </a:r>
            </a:p>
          </xdr:txBody>
        </xdr:sp>
        <xdr:sp macro="" textlink="">
          <xdr:nvSpPr>
            <xdr:cNvPr id="24" name="Heptágono 23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/>
          </xdr:nvSpPr>
          <xdr:spPr>
            <a:xfrm>
              <a:off x="9661723" y="6479783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3</a:t>
              </a:r>
            </a:p>
          </xdr:txBody>
        </xdr:sp>
        <xdr:sp macro="" textlink="">
          <xdr:nvSpPr>
            <xdr:cNvPr id="25" name="Heptágono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SpPr/>
          </xdr:nvSpPr>
          <xdr:spPr>
            <a:xfrm>
              <a:off x="9661723" y="6988251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5</a:t>
              </a:r>
            </a:p>
          </xdr:txBody>
        </xdr:sp>
        <xdr:sp macro="" textlink="">
          <xdr:nvSpPr>
            <xdr:cNvPr id="26" name="Heptágono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SpPr/>
          </xdr:nvSpPr>
          <xdr:spPr>
            <a:xfrm>
              <a:off x="9661723" y="7263610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800"/>
                <a:t>8</a:t>
              </a:r>
            </a:p>
          </xdr:txBody>
        </xdr:sp>
        <xdr:sp macro="" textlink="">
          <xdr:nvSpPr>
            <xdr:cNvPr id="27" name="Heptágono 26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SpPr/>
          </xdr:nvSpPr>
          <xdr:spPr>
            <a:xfrm>
              <a:off x="9690298" y="7901785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9</a:t>
              </a:r>
            </a:p>
          </xdr:txBody>
        </xdr:sp>
        <xdr:sp macro="" textlink="">
          <xdr:nvSpPr>
            <xdr:cNvPr id="28" name="Heptágono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/>
          </xdr:nvSpPr>
          <xdr:spPr>
            <a:xfrm>
              <a:off x="9060481" y="6293158"/>
              <a:ext cx="213515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6</a:t>
              </a:r>
            </a:p>
          </xdr:txBody>
        </xdr:sp>
        <xdr:sp macro="" textlink="">
          <xdr:nvSpPr>
            <xdr:cNvPr id="29" name="Heptágono 28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SpPr/>
          </xdr:nvSpPr>
          <xdr:spPr>
            <a:xfrm>
              <a:off x="8946482" y="65128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7</a:t>
              </a:r>
            </a:p>
          </xdr:txBody>
        </xdr:sp>
        <xdr:sp macro="" textlink="">
          <xdr:nvSpPr>
            <xdr:cNvPr id="30" name="Seta para a esquerda e para a direita 139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SpPr/>
          </xdr:nvSpPr>
          <xdr:spPr>
            <a:xfrm>
              <a:off x="9353461" y="6084242"/>
              <a:ext cx="810490" cy="11429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31" name="Heptágono 3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SpPr/>
          </xdr:nvSpPr>
          <xdr:spPr>
            <a:xfrm>
              <a:off x="9121396" y="60556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1</a:t>
              </a:r>
            </a:p>
          </xdr:txBody>
        </xdr:sp>
      </xdr:grpSp>
      <xdr:sp macro="" textlink="">
        <xdr:nvSpPr>
          <xdr:cNvPr id="9" name="Seta para a esquerda e para a direita 141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8773027" y="6515601"/>
            <a:ext cx="530802" cy="95249"/>
          </a:xfrm>
          <a:prstGeom prst="leftRightArrow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10" name="Heptágono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8944477" y="6487026"/>
            <a:ext cx="213516" cy="142875"/>
          </a:xfrm>
          <a:prstGeom prst="heptagon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r>
              <a:rPr lang="en-US" sz="900"/>
              <a:t>4</a:t>
            </a:r>
          </a:p>
        </xdr:txBody>
      </xdr:sp>
    </xdr:grpSp>
    <xdr:clientData/>
  </xdr:twoCellAnchor>
  <xdr:twoCellAnchor editAs="oneCell">
    <xdr:from>
      <xdr:col>4</xdr:col>
      <xdr:colOff>160421</xdr:colOff>
      <xdr:row>218</xdr:row>
      <xdr:rowOff>168444</xdr:rowOff>
    </xdr:from>
    <xdr:to>
      <xdr:col>13</xdr:col>
      <xdr:colOff>40907</xdr:colOff>
      <xdr:row>263</xdr:row>
      <xdr:rowOff>187304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5771" t="15378" r="38039" b="20225"/>
        <a:stretch/>
      </xdr:blipFill>
      <xdr:spPr>
        <a:xfrm>
          <a:off x="1730141" y="31570464"/>
          <a:ext cx="5062086" cy="84313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18</xdr:row>
          <xdr:rowOff>91440</xdr:rowOff>
        </xdr:from>
        <xdr:to>
          <xdr:col>3</xdr:col>
          <xdr:colOff>975360</xdr:colOff>
          <xdr:row>20</xdr:row>
          <xdr:rowOff>0</xdr:rowOff>
        </xdr:to>
        <xdr:sp macro="" textlink="">
          <xdr:nvSpPr>
            <xdr:cNvPr id="46081" name="Caixa de seleção 2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3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Hipertrofia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91440</xdr:rowOff>
        </xdr:from>
        <xdr:to>
          <xdr:col>5</xdr:col>
          <xdr:colOff>731520</xdr:colOff>
          <xdr:row>20</xdr:row>
          <xdr:rowOff>0</xdr:rowOff>
        </xdr:to>
        <xdr:sp macro="" textlink="">
          <xdr:nvSpPr>
            <xdr:cNvPr id="46082" name="Caixa de seleção 3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3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18</xdr:row>
          <xdr:rowOff>91440</xdr:rowOff>
        </xdr:from>
        <xdr:to>
          <xdr:col>9</xdr:col>
          <xdr:colOff>1089660</xdr:colOff>
          <xdr:row>20</xdr:row>
          <xdr:rowOff>0</xdr:rowOff>
        </xdr:to>
        <xdr:sp macro="" textlink="">
          <xdr:nvSpPr>
            <xdr:cNvPr id="46083" name="Caixa de seleção 4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300-00000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Saúde/ Bem estar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91440</xdr:rowOff>
        </xdr:from>
        <xdr:to>
          <xdr:col>7</xdr:col>
          <xdr:colOff>990600</xdr:colOff>
          <xdr:row>20</xdr:row>
          <xdr:rowOff>0</xdr:rowOff>
        </xdr:to>
        <xdr:sp macro="" textlink="">
          <xdr:nvSpPr>
            <xdr:cNvPr id="46084" name="Caixa de seleção 5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300-00000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Definição Muscular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18</xdr:row>
          <xdr:rowOff>91440</xdr:rowOff>
        </xdr:from>
        <xdr:to>
          <xdr:col>12</xdr:col>
          <xdr:colOff>60960</xdr:colOff>
          <xdr:row>20</xdr:row>
          <xdr:rowOff>0</xdr:rowOff>
        </xdr:to>
        <xdr:sp macro="" textlink="">
          <xdr:nvSpPr>
            <xdr:cNvPr id="46085" name="Caixa de seleção 6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300-000005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Emagrecimento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</xdr:colOff>
          <xdr:row>18</xdr:row>
          <xdr:rowOff>83820</xdr:rowOff>
        </xdr:from>
        <xdr:to>
          <xdr:col>14</xdr:col>
          <xdr:colOff>106680</xdr:colOff>
          <xdr:row>20</xdr:row>
          <xdr:rowOff>0</xdr:rowOff>
        </xdr:to>
        <xdr:sp macro="" textlink="">
          <xdr:nvSpPr>
            <xdr:cNvPr id="46086" name="Caixa de seleção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300-000006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Preparação Física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169</xdr:row>
          <xdr:rowOff>175260</xdr:rowOff>
        </xdr:from>
        <xdr:to>
          <xdr:col>5</xdr:col>
          <xdr:colOff>579120</xdr:colOff>
          <xdr:row>171</xdr:row>
          <xdr:rowOff>38100</xdr:rowOff>
        </xdr:to>
        <xdr:sp macro="" textlink="">
          <xdr:nvSpPr>
            <xdr:cNvPr id="46087" name="Caixa de seleção 42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300-000007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169</xdr:row>
          <xdr:rowOff>175260</xdr:rowOff>
        </xdr:from>
        <xdr:to>
          <xdr:col>7</xdr:col>
          <xdr:colOff>579120</xdr:colOff>
          <xdr:row>171</xdr:row>
          <xdr:rowOff>38100</xdr:rowOff>
        </xdr:to>
        <xdr:sp macro="" textlink="">
          <xdr:nvSpPr>
            <xdr:cNvPr id="46088" name="Caixa de seleção 44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300-000008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169</xdr:row>
          <xdr:rowOff>175260</xdr:rowOff>
        </xdr:from>
        <xdr:to>
          <xdr:col>9</xdr:col>
          <xdr:colOff>579120</xdr:colOff>
          <xdr:row>171</xdr:row>
          <xdr:rowOff>38100</xdr:rowOff>
        </xdr:to>
        <xdr:sp macro="" textlink="">
          <xdr:nvSpPr>
            <xdr:cNvPr id="46089" name="Caixa de seleção 45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300-000009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Diminuida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171</xdr:row>
          <xdr:rowOff>68580</xdr:rowOff>
        </xdr:from>
        <xdr:to>
          <xdr:col>5</xdr:col>
          <xdr:colOff>609600</xdr:colOff>
          <xdr:row>173</xdr:row>
          <xdr:rowOff>38100</xdr:rowOff>
        </xdr:to>
        <xdr:sp macro="" textlink="">
          <xdr:nvSpPr>
            <xdr:cNvPr id="46090" name="Caixa de seleção 47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300-00000A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171</xdr:row>
          <xdr:rowOff>68580</xdr:rowOff>
        </xdr:from>
        <xdr:to>
          <xdr:col>7</xdr:col>
          <xdr:colOff>563880</xdr:colOff>
          <xdr:row>173</xdr:row>
          <xdr:rowOff>38100</xdr:rowOff>
        </xdr:to>
        <xdr:sp macro="" textlink="">
          <xdr:nvSpPr>
            <xdr:cNvPr id="46091" name="Caixa de seleção 48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300-00000B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171</xdr:row>
          <xdr:rowOff>68580</xdr:rowOff>
        </xdr:from>
        <xdr:to>
          <xdr:col>9</xdr:col>
          <xdr:colOff>899160</xdr:colOff>
          <xdr:row>173</xdr:row>
          <xdr:rowOff>38100</xdr:rowOff>
        </xdr:to>
        <xdr:sp macro="" textlink="">
          <xdr:nvSpPr>
            <xdr:cNvPr id="46092" name="Caixa de seleção 49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300-00000C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Rotação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175</xdr:row>
          <xdr:rowOff>76200</xdr:rowOff>
        </xdr:from>
        <xdr:to>
          <xdr:col>5</xdr:col>
          <xdr:colOff>579120</xdr:colOff>
          <xdr:row>177</xdr:row>
          <xdr:rowOff>45720</xdr:rowOff>
        </xdr:to>
        <xdr:sp macro="" textlink="">
          <xdr:nvSpPr>
            <xdr:cNvPr id="46093" name="Caixa de seleção 50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300-00000D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175</xdr:row>
          <xdr:rowOff>76200</xdr:rowOff>
        </xdr:from>
        <xdr:to>
          <xdr:col>7</xdr:col>
          <xdr:colOff>579120</xdr:colOff>
          <xdr:row>177</xdr:row>
          <xdr:rowOff>45720</xdr:rowOff>
        </xdr:to>
        <xdr:sp macro="" textlink="">
          <xdr:nvSpPr>
            <xdr:cNvPr id="46094" name="Caixa de seleção 51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300-00000E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175</xdr:row>
          <xdr:rowOff>76200</xdr:rowOff>
        </xdr:from>
        <xdr:to>
          <xdr:col>9</xdr:col>
          <xdr:colOff>579120</xdr:colOff>
          <xdr:row>177</xdr:row>
          <xdr:rowOff>45720</xdr:rowOff>
        </xdr:to>
        <xdr:sp macro="" textlink="">
          <xdr:nvSpPr>
            <xdr:cNvPr id="46095" name="Caixa de seleção 52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300-00000F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177</xdr:row>
          <xdr:rowOff>76200</xdr:rowOff>
        </xdr:from>
        <xdr:to>
          <xdr:col>5</xdr:col>
          <xdr:colOff>579120</xdr:colOff>
          <xdr:row>179</xdr:row>
          <xdr:rowOff>60960</xdr:rowOff>
        </xdr:to>
        <xdr:sp macro="" textlink="">
          <xdr:nvSpPr>
            <xdr:cNvPr id="46096" name="Caixa de seleção 53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300-000010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Fisioóogica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177</xdr:row>
          <xdr:rowOff>76200</xdr:rowOff>
        </xdr:from>
        <xdr:to>
          <xdr:col>7</xdr:col>
          <xdr:colOff>579120</xdr:colOff>
          <xdr:row>179</xdr:row>
          <xdr:rowOff>60960</xdr:rowOff>
        </xdr:to>
        <xdr:sp macro="" textlink="">
          <xdr:nvSpPr>
            <xdr:cNvPr id="46097" name="Caixa de seleção 54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300-00001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177</xdr:row>
          <xdr:rowOff>76200</xdr:rowOff>
        </xdr:from>
        <xdr:to>
          <xdr:col>9</xdr:col>
          <xdr:colOff>579120</xdr:colOff>
          <xdr:row>179</xdr:row>
          <xdr:rowOff>60960</xdr:rowOff>
        </xdr:to>
        <xdr:sp macro="" textlink="">
          <xdr:nvSpPr>
            <xdr:cNvPr id="46098" name="Caixa de seleção 55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300-00001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179</xdr:row>
          <xdr:rowOff>76200</xdr:rowOff>
        </xdr:from>
        <xdr:to>
          <xdr:col>5</xdr:col>
          <xdr:colOff>579120</xdr:colOff>
          <xdr:row>181</xdr:row>
          <xdr:rowOff>22860</xdr:rowOff>
        </xdr:to>
        <xdr:sp macro="" textlink="">
          <xdr:nvSpPr>
            <xdr:cNvPr id="46099" name="Caixa de seleção 5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300-00001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179</xdr:row>
          <xdr:rowOff>76200</xdr:rowOff>
        </xdr:from>
        <xdr:to>
          <xdr:col>7</xdr:col>
          <xdr:colOff>579120</xdr:colOff>
          <xdr:row>181</xdr:row>
          <xdr:rowOff>22860</xdr:rowOff>
        </xdr:to>
        <xdr:sp macro="" textlink="">
          <xdr:nvSpPr>
            <xdr:cNvPr id="46100" name="Caixa de seleção 6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300-00001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Anteversão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179</xdr:row>
          <xdr:rowOff>76200</xdr:rowOff>
        </xdr:from>
        <xdr:to>
          <xdr:col>9</xdr:col>
          <xdr:colOff>579120</xdr:colOff>
          <xdr:row>181</xdr:row>
          <xdr:rowOff>22860</xdr:rowOff>
        </xdr:to>
        <xdr:sp macro="" textlink="">
          <xdr:nvSpPr>
            <xdr:cNvPr id="46101" name="Caixa de seleção 6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300-000015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Retroversão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181</xdr:row>
          <xdr:rowOff>76200</xdr:rowOff>
        </xdr:from>
        <xdr:to>
          <xdr:col>5</xdr:col>
          <xdr:colOff>579120</xdr:colOff>
          <xdr:row>183</xdr:row>
          <xdr:rowOff>38100</xdr:rowOff>
        </xdr:to>
        <xdr:sp macro="" textlink="">
          <xdr:nvSpPr>
            <xdr:cNvPr id="46102" name="Caixa de seleção 6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300-000016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181</xdr:row>
          <xdr:rowOff>76200</xdr:rowOff>
        </xdr:from>
        <xdr:to>
          <xdr:col>7</xdr:col>
          <xdr:colOff>579120</xdr:colOff>
          <xdr:row>183</xdr:row>
          <xdr:rowOff>38100</xdr:rowOff>
        </xdr:to>
        <xdr:sp macro="" textlink="">
          <xdr:nvSpPr>
            <xdr:cNvPr id="46103" name="Caixa de seleção 6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300-000017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Recurvatum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181</xdr:row>
          <xdr:rowOff>76200</xdr:rowOff>
        </xdr:from>
        <xdr:to>
          <xdr:col>9</xdr:col>
          <xdr:colOff>579120</xdr:colOff>
          <xdr:row>183</xdr:row>
          <xdr:rowOff>38100</xdr:rowOff>
        </xdr:to>
        <xdr:sp macro="" textlink="">
          <xdr:nvSpPr>
            <xdr:cNvPr id="46104" name="Caixa de seleção 6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300-000018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Flexo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173</xdr:row>
          <xdr:rowOff>68580</xdr:rowOff>
        </xdr:from>
        <xdr:to>
          <xdr:col>5</xdr:col>
          <xdr:colOff>579120</xdr:colOff>
          <xdr:row>175</xdr:row>
          <xdr:rowOff>45720</xdr:rowOff>
        </xdr:to>
        <xdr:sp macro="" textlink="">
          <xdr:nvSpPr>
            <xdr:cNvPr id="46105" name="Caixa de seleção 107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300-000019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173</xdr:row>
          <xdr:rowOff>68580</xdr:rowOff>
        </xdr:from>
        <xdr:to>
          <xdr:col>7</xdr:col>
          <xdr:colOff>563880</xdr:colOff>
          <xdr:row>175</xdr:row>
          <xdr:rowOff>45720</xdr:rowOff>
        </xdr:to>
        <xdr:sp macro="" textlink="">
          <xdr:nvSpPr>
            <xdr:cNvPr id="46106" name="Caixa de seleção 108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300-00001A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183</xdr:row>
          <xdr:rowOff>76200</xdr:rowOff>
        </xdr:from>
        <xdr:to>
          <xdr:col>7</xdr:col>
          <xdr:colOff>594360</xdr:colOff>
          <xdr:row>185</xdr:row>
          <xdr:rowOff>60960</xdr:rowOff>
        </xdr:to>
        <xdr:sp macro="" textlink="">
          <xdr:nvSpPr>
            <xdr:cNvPr id="46107" name="Caixa de seleção 109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300-00001B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183</xdr:row>
          <xdr:rowOff>76200</xdr:rowOff>
        </xdr:from>
        <xdr:to>
          <xdr:col>5</xdr:col>
          <xdr:colOff>579120</xdr:colOff>
          <xdr:row>185</xdr:row>
          <xdr:rowOff>60960</xdr:rowOff>
        </xdr:to>
        <xdr:sp macro="" textlink="">
          <xdr:nvSpPr>
            <xdr:cNvPr id="46108" name="Caixa de seleção 110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300-00001C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183</xdr:row>
          <xdr:rowOff>76200</xdr:rowOff>
        </xdr:from>
        <xdr:to>
          <xdr:col>9</xdr:col>
          <xdr:colOff>579120</xdr:colOff>
          <xdr:row>185</xdr:row>
          <xdr:rowOff>45720</xdr:rowOff>
        </xdr:to>
        <xdr:sp macro="" textlink="">
          <xdr:nvSpPr>
            <xdr:cNvPr id="46109" name="Caixa de seleção 111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300-00001D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Calcâneo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184</xdr:row>
          <xdr:rowOff>182880</xdr:rowOff>
        </xdr:from>
        <xdr:to>
          <xdr:col>5</xdr:col>
          <xdr:colOff>571500</xdr:colOff>
          <xdr:row>186</xdr:row>
          <xdr:rowOff>60960</xdr:rowOff>
        </xdr:to>
        <xdr:sp macro="" textlink="">
          <xdr:nvSpPr>
            <xdr:cNvPr id="46110" name="Caixa de seleção 112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300-00001E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Equino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199</xdr:row>
          <xdr:rowOff>7620</xdr:rowOff>
        </xdr:from>
        <xdr:to>
          <xdr:col>3</xdr:col>
          <xdr:colOff>723900</xdr:colOff>
          <xdr:row>200</xdr:row>
          <xdr:rowOff>60960</xdr:rowOff>
        </xdr:to>
        <xdr:sp macro="" textlink="">
          <xdr:nvSpPr>
            <xdr:cNvPr id="46111" name="Caixa de seleção 46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300-00001F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Em "S"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190</xdr:row>
          <xdr:rowOff>7620</xdr:rowOff>
        </xdr:from>
        <xdr:to>
          <xdr:col>3</xdr:col>
          <xdr:colOff>708660</xdr:colOff>
          <xdr:row>191</xdr:row>
          <xdr:rowOff>60960</xdr:rowOff>
        </xdr:to>
        <xdr:sp macro="" textlink="">
          <xdr:nvSpPr>
            <xdr:cNvPr id="46112" name="Caixa de seleção 65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300-000020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189</xdr:row>
          <xdr:rowOff>7620</xdr:rowOff>
        </xdr:from>
        <xdr:to>
          <xdr:col>5</xdr:col>
          <xdr:colOff>99060</xdr:colOff>
          <xdr:row>190</xdr:row>
          <xdr:rowOff>60960</xdr:rowOff>
        </xdr:to>
        <xdr:sp macro="" textlink="">
          <xdr:nvSpPr>
            <xdr:cNvPr id="46113" name="Caixa de seleção 66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300-00002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189</xdr:row>
          <xdr:rowOff>7620</xdr:rowOff>
        </xdr:from>
        <xdr:to>
          <xdr:col>7</xdr:col>
          <xdr:colOff>259080</xdr:colOff>
          <xdr:row>190</xdr:row>
          <xdr:rowOff>60960</xdr:rowOff>
        </xdr:to>
        <xdr:sp macro="" textlink="">
          <xdr:nvSpPr>
            <xdr:cNvPr id="46114" name="Caixa de seleção 67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300-00002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198</xdr:row>
          <xdr:rowOff>7620</xdr:rowOff>
        </xdr:from>
        <xdr:to>
          <xdr:col>5</xdr:col>
          <xdr:colOff>22860</xdr:colOff>
          <xdr:row>199</xdr:row>
          <xdr:rowOff>60960</xdr:rowOff>
        </xdr:to>
        <xdr:sp macro="" textlink="">
          <xdr:nvSpPr>
            <xdr:cNvPr id="46115" name="Caixa de seleção 69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300-00002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198</xdr:row>
          <xdr:rowOff>7620</xdr:rowOff>
        </xdr:from>
        <xdr:to>
          <xdr:col>7</xdr:col>
          <xdr:colOff>83820</xdr:colOff>
          <xdr:row>199</xdr:row>
          <xdr:rowOff>60960</xdr:rowOff>
        </xdr:to>
        <xdr:sp macro="" textlink="">
          <xdr:nvSpPr>
            <xdr:cNvPr id="46116" name="Caixa de seleção 70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300-00002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Torácica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195</xdr:row>
          <xdr:rowOff>7620</xdr:rowOff>
        </xdr:from>
        <xdr:to>
          <xdr:col>3</xdr:col>
          <xdr:colOff>708660</xdr:colOff>
          <xdr:row>196</xdr:row>
          <xdr:rowOff>60960</xdr:rowOff>
        </xdr:to>
        <xdr:sp macro="" textlink="">
          <xdr:nvSpPr>
            <xdr:cNvPr id="46117" name="Caixa de seleção 71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300-000025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Abduzida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193</xdr:row>
          <xdr:rowOff>7620</xdr:rowOff>
        </xdr:from>
        <xdr:to>
          <xdr:col>4</xdr:col>
          <xdr:colOff>137160</xdr:colOff>
          <xdr:row>194</xdr:row>
          <xdr:rowOff>60960</xdr:rowOff>
        </xdr:to>
        <xdr:sp macro="" textlink="">
          <xdr:nvSpPr>
            <xdr:cNvPr id="46118" name="Caixa de seleção 72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300-000026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193</xdr:row>
          <xdr:rowOff>7620</xdr:rowOff>
        </xdr:from>
        <xdr:to>
          <xdr:col>5</xdr:col>
          <xdr:colOff>708660</xdr:colOff>
          <xdr:row>194</xdr:row>
          <xdr:rowOff>60960</xdr:rowOff>
        </xdr:to>
        <xdr:sp macro="" textlink="">
          <xdr:nvSpPr>
            <xdr:cNvPr id="46119" name="Caixa de seleção 73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300-000027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194</xdr:row>
          <xdr:rowOff>7620</xdr:rowOff>
        </xdr:from>
        <xdr:to>
          <xdr:col>3</xdr:col>
          <xdr:colOff>975360</xdr:colOff>
          <xdr:row>195</xdr:row>
          <xdr:rowOff>60960</xdr:rowOff>
        </xdr:to>
        <xdr:sp macro="" textlink="">
          <xdr:nvSpPr>
            <xdr:cNvPr id="46120" name="Caixa de seleção 77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300-000028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Inferior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194</xdr:row>
          <xdr:rowOff>7620</xdr:rowOff>
        </xdr:from>
        <xdr:to>
          <xdr:col>6</xdr:col>
          <xdr:colOff>99060</xdr:colOff>
          <xdr:row>195</xdr:row>
          <xdr:rowOff>60960</xdr:rowOff>
        </xdr:to>
        <xdr:sp macro="" textlink="">
          <xdr:nvSpPr>
            <xdr:cNvPr id="46121" name="Caixa de seleção 78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300-000029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Superior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211</xdr:row>
          <xdr:rowOff>0</xdr:rowOff>
        </xdr:from>
        <xdr:to>
          <xdr:col>3</xdr:col>
          <xdr:colOff>708660</xdr:colOff>
          <xdr:row>212</xdr:row>
          <xdr:rowOff>60960</xdr:rowOff>
        </xdr:to>
        <xdr:sp macro="" textlink="">
          <xdr:nvSpPr>
            <xdr:cNvPr id="46122" name="Caixa de seleção 80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300-00002A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211</xdr:row>
          <xdr:rowOff>0</xdr:rowOff>
        </xdr:from>
        <xdr:to>
          <xdr:col>5</xdr:col>
          <xdr:colOff>685800</xdr:colOff>
          <xdr:row>212</xdr:row>
          <xdr:rowOff>60960</xdr:rowOff>
        </xdr:to>
        <xdr:sp macro="" textlink="">
          <xdr:nvSpPr>
            <xdr:cNvPr id="46123" name="Caixa de seleção 81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300-00002B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208</xdr:row>
          <xdr:rowOff>7620</xdr:rowOff>
        </xdr:from>
        <xdr:to>
          <xdr:col>3</xdr:col>
          <xdr:colOff>708660</xdr:colOff>
          <xdr:row>209</xdr:row>
          <xdr:rowOff>60960</xdr:rowOff>
        </xdr:to>
        <xdr:sp macro="" textlink="">
          <xdr:nvSpPr>
            <xdr:cNvPr id="46124" name="Caixa de seleção 83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300-00002C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208</xdr:row>
          <xdr:rowOff>7620</xdr:rowOff>
        </xdr:from>
        <xdr:to>
          <xdr:col>5</xdr:col>
          <xdr:colOff>685800</xdr:colOff>
          <xdr:row>209</xdr:row>
          <xdr:rowOff>60960</xdr:rowOff>
        </xdr:to>
        <xdr:sp macro="" textlink="">
          <xdr:nvSpPr>
            <xdr:cNvPr id="46125" name="Caixa de seleção 84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300-00002D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838200</xdr:colOff>
          <xdr:row>208</xdr:row>
          <xdr:rowOff>15240</xdr:rowOff>
        </xdr:from>
        <xdr:to>
          <xdr:col>7</xdr:col>
          <xdr:colOff>403860</xdr:colOff>
          <xdr:row>209</xdr:row>
          <xdr:rowOff>68580</xdr:rowOff>
        </xdr:to>
        <xdr:sp macro="" textlink="">
          <xdr:nvSpPr>
            <xdr:cNvPr id="46126" name="Caixa de seleção 85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300-00002E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189</xdr:row>
          <xdr:rowOff>7620</xdr:rowOff>
        </xdr:from>
        <xdr:to>
          <xdr:col>9</xdr:col>
          <xdr:colOff>708660</xdr:colOff>
          <xdr:row>190</xdr:row>
          <xdr:rowOff>60960</xdr:rowOff>
        </xdr:to>
        <xdr:sp macro="" textlink="">
          <xdr:nvSpPr>
            <xdr:cNvPr id="46127" name="Caixa de seleção 86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300-00002F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189</xdr:row>
          <xdr:rowOff>7620</xdr:rowOff>
        </xdr:from>
        <xdr:to>
          <xdr:col>11</xdr:col>
          <xdr:colOff>670560</xdr:colOff>
          <xdr:row>190</xdr:row>
          <xdr:rowOff>60960</xdr:rowOff>
        </xdr:to>
        <xdr:sp macro="" textlink="">
          <xdr:nvSpPr>
            <xdr:cNvPr id="46128" name="Caixa de seleção 87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300-000030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198</xdr:row>
          <xdr:rowOff>167640</xdr:rowOff>
        </xdr:from>
        <xdr:to>
          <xdr:col>9</xdr:col>
          <xdr:colOff>693420</xdr:colOff>
          <xdr:row>200</xdr:row>
          <xdr:rowOff>60960</xdr:rowOff>
        </xdr:to>
        <xdr:sp macro="" textlink="">
          <xdr:nvSpPr>
            <xdr:cNvPr id="46129" name="Caixa de seleção 92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300-00003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197</xdr:row>
          <xdr:rowOff>175260</xdr:rowOff>
        </xdr:from>
        <xdr:to>
          <xdr:col>9</xdr:col>
          <xdr:colOff>708660</xdr:colOff>
          <xdr:row>199</xdr:row>
          <xdr:rowOff>68580</xdr:rowOff>
        </xdr:to>
        <xdr:sp macro="" textlink="">
          <xdr:nvSpPr>
            <xdr:cNvPr id="46130" name="Caixa de seleção 93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300-00003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197</xdr:row>
          <xdr:rowOff>175260</xdr:rowOff>
        </xdr:from>
        <xdr:to>
          <xdr:col>11</xdr:col>
          <xdr:colOff>693420</xdr:colOff>
          <xdr:row>199</xdr:row>
          <xdr:rowOff>68580</xdr:rowOff>
        </xdr:to>
        <xdr:sp macro="" textlink="">
          <xdr:nvSpPr>
            <xdr:cNvPr id="46131" name="Caixa de seleção 94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300-00003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204</xdr:row>
          <xdr:rowOff>175260</xdr:rowOff>
        </xdr:from>
        <xdr:to>
          <xdr:col>9</xdr:col>
          <xdr:colOff>693420</xdr:colOff>
          <xdr:row>206</xdr:row>
          <xdr:rowOff>68580</xdr:rowOff>
        </xdr:to>
        <xdr:sp macro="" textlink="">
          <xdr:nvSpPr>
            <xdr:cNvPr id="46132" name="Caixa de seleção 95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300-00003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203</xdr:row>
          <xdr:rowOff>175260</xdr:rowOff>
        </xdr:from>
        <xdr:to>
          <xdr:col>9</xdr:col>
          <xdr:colOff>708660</xdr:colOff>
          <xdr:row>205</xdr:row>
          <xdr:rowOff>68580</xdr:rowOff>
        </xdr:to>
        <xdr:sp macro="" textlink="">
          <xdr:nvSpPr>
            <xdr:cNvPr id="46133" name="Caixa de seleção 96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300-000035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Lateralizada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203</xdr:row>
          <xdr:rowOff>175260</xdr:rowOff>
        </xdr:from>
        <xdr:to>
          <xdr:col>11</xdr:col>
          <xdr:colOff>693420</xdr:colOff>
          <xdr:row>205</xdr:row>
          <xdr:rowOff>68580</xdr:rowOff>
        </xdr:to>
        <xdr:sp macro="" textlink="">
          <xdr:nvSpPr>
            <xdr:cNvPr id="46134" name="Caixa de seleção 97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300-000036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Medializada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193</xdr:row>
          <xdr:rowOff>175260</xdr:rowOff>
        </xdr:from>
        <xdr:to>
          <xdr:col>9</xdr:col>
          <xdr:colOff>693420</xdr:colOff>
          <xdr:row>195</xdr:row>
          <xdr:rowOff>68580</xdr:rowOff>
        </xdr:to>
        <xdr:sp macro="" textlink="">
          <xdr:nvSpPr>
            <xdr:cNvPr id="46135" name="Caixa de seleção 98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300-000037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204</xdr:row>
          <xdr:rowOff>175260</xdr:rowOff>
        </xdr:from>
        <xdr:to>
          <xdr:col>3</xdr:col>
          <xdr:colOff>693420</xdr:colOff>
          <xdr:row>206</xdr:row>
          <xdr:rowOff>68580</xdr:rowOff>
        </xdr:to>
        <xdr:sp macro="" textlink="">
          <xdr:nvSpPr>
            <xdr:cNvPr id="46136" name="Caixa de seleção 104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300-000038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129540</xdr:colOff>
          <xdr:row>203</xdr:row>
          <xdr:rowOff>175260</xdr:rowOff>
        </xdr:from>
        <xdr:to>
          <xdr:col>7</xdr:col>
          <xdr:colOff>7620</xdr:colOff>
          <xdr:row>205</xdr:row>
          <xdr:rowOff>68580</xdr:rowOff>
        </xdr:to>
        <xdr:sp macro="" textlink="">
          <xdr:nvSpPr>
            <xdr:cNvPr id="46137" name="Caixa de seleção 105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300-000039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203</xdr:row>
          <xdr:rowOff>175260</xdr:rowOff>
        </xdr:from>
        <xdr:to>
          <xdr:col>4</xdr:col>
          <xdr:colOff>144780</xdr:colOff>
          <xdr:row>205</xdr:row>
          <xdr:rowOff>68580</xdr:rowOff>
        </xdr:to>
        <xdr:sp macro="" textlink="">
          <xdr:nvSpPr>
            <xdr:cNvPr id="46138" name="Caixa de seleção 106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300-00003A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237320</xdr:colOff>
      <xdr:row>0</xdr:row>
      <xdr:rowOff>12213</xdr:rowOff>
    </xdr:from>
    <xdr:to>
      <xdr:col>16</xdr:col>
      <xdr:colOff>0</xdr:colOff>
      <xdr:row>5</xdr:row>
      <xdr:rowOff>79323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58800" y="12213"/>
          <a:ext cx="3572680" cy="1019610"/>
        </a:xfrm>
        <a:prstGeom prst="rect">
          <a:avLst/>
        </a:prstGeom>
      </xdr:spPr>
    </xdr:pic>
    <xdr:clientData/>
  </xdr:twoCellAnchor>
  <xdr:twoCellAnchor>
    <xdr:from>
      <xdr:col>86</xdr:col>
      <xdr:colOff>47625</xdr:colOff>
      <xdr:row>32</xdr:row>
      <xdr:rowOff>47625</xdr:rowOff>
    </xdr:from>
    <xdr:to>
      <xdr:col>88</xdr:col>
      <xdr:colOff>104775</xdr:colOff>
      <xdr:row>34</xdr:row>
      <xdr:rowOff>152399</xdr:rowOff>
    </xdr:to>
    <xdr:sp macro="" textlink="">
      <xdr:nvSpPr>
        <xdr:cNvPr id="92" name="Fluxograma: Processo alternativ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>
          <a:off x="8138160" y="566356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xdr:twoCellAnchor>
    <xdr:from>
      <xdr:col>126</xdr:col>
      <xdr:colOff>152400</xdr:colOff>
      <xdr:row>11</xdr:row>
      <xdr:rowOff>185736</xdr:rowOff>
    </xdr:from>
    <xdr:to>
      <xdr:col>133</xdr:col>
      <xdr:colOff>962025</xdr:colOff>
      <xdr:row>24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142</xdr:col>
      <xdr:colOff>390524</xdr:colOff>
      <xdr:row>19</xdr:row>
      <xdr:rowOff>109537</xdr:rowOff>
    </xdr:from>
    <xdr:to>
      <xdr:col>150</xdr:col>
      <xdr:colOff>28575</xdr:colOff>
      <xdr:row>41</xdr:row>
      <xdr:rowOff>76200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132</xdr:col>
      <xdr:colOff>57150</xdr:colOff>
      <xdr:row>29</xdr:row>
      <xdr:rowOff>47625</xdr:rowOff>
    </xdr:from>
    <xdr:to>
      <xdr:col>134</xdr:col>
      <xdr:colOff>114300</xdr:colOff>
      <xdr:row>31</xdr:row>
      <xdr:rowOff>152399</xdr:rowOff>
    </xdr:to>
    <xdr:sp macro="" textlink="">
      <xdr:nvSpPr>
        <xdr:cNvPr id="95" name="Fluxograma: Processo alternativ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/>
      </xdr:nvSpPr>
      <xdr:spPr>
        <a:xfrm>
          <a:off x="8138160" y="511492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47</xdr:row>
          <xdr:rowOff>175260</xdr:rowOff>
        </xdr:from>
        <xdr:to>
          <xdr:col>13</xdr:col>
          <xdr:colOff>495300</xdr:colOff>
          <xdr:row>49</xdr:row>
          <xdr:rowOff>0</xdr:rowOff>
        </xdr:to>
        <xdr:sp macro="" textlink="">
          <xdr:nvSpPr>
            <xdr:cNvPr id="46139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300-00003B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47</xdr:row>
          <xdr:rowOff>175260</xdr:rowOff>
        </xdr:from>
        <xdr:to>
          <xdr:col>14</xdr:col>
          <xdr:colOff>0</xdr:colOff>
          <xdr:row>49</xdr:row>
          <xdr:rowOff>38100</xdr:rowOff>
        </xdr:to>
        <xdr:sp macro="" textlink="">
          <xdr:nvSpPr>
            <xdr:cNvPr id="46140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300-00003C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53340</xdr:rowOff>
        </xdr:from>
        <xdr:to>
          <xdr:col>13</xdr:col>
          <xdr:colOff>495300</xdr:colOff>
          <xdr:row>52</xdr:row>
          <xdr:rowOff>38100</xdr:rowOff>
        </xdr:to>
        <xdr:sp macro="" textlink="">
          <xdr:nvSpPr>
            <xdr:cNvPr id="46141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300-00003D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50</xdr:row>
          <xdr:rowOff>53340</xdr:rowOff>
        </xdr:from>
        <xdr:to>
          <xdr:col>14</xdr:col>
          <xdr:colOff>0</xdr:colOff>
          <xdr:row>52</xdr:row>
          <xdr:rowOff>38100</xdr:rowOff>
        </xdr:to>
        <xdr:sp macro="" textlink="">
          <xdr:nvSpPr>
            <xdr:cNvPr id="46142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300-00003E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45720</xdr:rowOff>
        </xdr:from>
        <xdr:to>
          <xdr:col>13</xdr:col>
          <xdr:colOff>495300</xdr:colOff>
          <xdr:row>54</xdr:row>
          <xdr:rowOff>38100</xdr:rowOff>
        </xdr:to>
        <xdr:sp macro="" textlink="">
          <xdr:nvSpPr>
            <xdr:cNvPr id="46143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300-00003F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52</xdr:row>
          <xdr:rowOff>45720</xdr:rowOff>
        </xdr:from>
        <xdr:to>
          <xdr:col>14</xdr:col>
          <xdr:colOff>0</xdr:colOff>
          <xdr:row>54</xdr:row>
          <xdr:rowOff>38100</xdr:rowOff>
        </xdr:to>
        <xdr:sp macro="" textlink="">
          <xdr:nvSpPr>
            <xdr:cNvPr id="46144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300-000040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54</xdr:row>
          <xdr:rowOff>53340</xdr:rowOff>
        </xdr:from>
        <xdr:to>
          <xdr:col>13</xdr:col>
          <xdr:colOff>495300</xdr:colOff>
          <xdr:row>56</xdr:row>
          <xdr:rowOff>0</xdr:rowOff>
        </xdr:to>
        <xdr:sp macro="" textlink="">
          <xdr:nvSpPr>
            <xdr:cNvPr id="46145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300-00004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54</xdr:row>
          <xdr:rowOff>53340</xdr:rowOff>
        </xdr:from>
        <xdr:to>
          <xdr:col>14</xdr:col>
          <xdr:colOff>0</xdr:colOff>
          <xdr:row>56</xdr:row>
          <xdr:rowOff>38100</xdr:rowOff>
        </xdr:to>
        <xdr:sp macro="" textlink="">
          <xdr:nvSpPr>
            <xdr:cNvPr id="46146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300-00004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56</xdr:row>
          <xdr:rowOff>53340</xdr:rowOff>
        </xdr:from>
        <xdr:to>
          <xdr:col>13</xdr:col>
          <xdr:colOff>495300</xdr:colOff>
          <xdr:row>58</xdr:row>
          <xdr:rowOff>38100</xdr:rowOff>
        </xdr:to>
        <xdr:sp macro="" textlink="">
          <xdr:nvSpPr>
            <xdr:cNvPr id="46147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300-00004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56</xdr:row>
          <xdr:rowOff>53340</xdr:rowOff>
        </xdr:from>
        <xdr:to>
          <xdr:col>14</xdr:col>
          <xdr:colOff>0</xdr:colOff>
          <xdr:row>58</xdr:row>
          <xdr:rowOff>38100</xdr:rowOff>
        </xdr:to>
        <xdr:sp macro="" textlink="">
          <xdr:nvSpPr>
            <xdr:cNvPr id="46148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300-00004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59</xdr:row>
          <xdr:rowOff>53340</xdr:rowOff>
        </xdr:from>
        <xdr:to>
          <xdr:col>13</xdr:col>
          <xdr:colOff>495300</xdr:colOff>
          <xdr:row>61</xdr:row>
          <xdr:rowOff>0</xdr:rowOff>
        </xdr:to>
        <xdr:sp macro="" textlink="">
          <xdr:nvSpPr>
            <xdr:cNvPr id="46149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300-000045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59</xdr:row>
          <xdr:rowOff>53340</xdr:rowOff>
        </xdr:from>
        <xdr:to>
          <xdr:col>14</xdr:col>
          <xdr:colOff>0</xdr:colOff>
          <xdr:row>61</xdr:row>
          <xdr:rowOff>38100</xdr:rowOff>
        </xdr:to>
        <xdr:sp macro="" textlink="">
          <xdr:nvSpPr>
            <xdr:cNvPr id="46150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300-000046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62</xdr:row>
          <xdr:rowOff>53340</xdr:rowOff>
        </xdr:from>
        <xdr:to>
          <xdr:col>13</xdr:col>
          <xdr:colOff>495300</xdr:colOff>
          <xdr:row>64</xdr:row>
          <xdr:rowOff>38100</xdr:rowOff>
        </xdr:to>
        <xdr:sp macro="" textlink="">
          <xdr:nvSpPr>
            <xdr:cNvPr id="46151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300-000047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62</xdr:row>
          <xdr:rowOff>53340</xdr:rowOff>
        </xdr:from>
        <xdr:to>
          <xdr:col>14</xdr:col>
          <xdr:colOff>0</xdr:colOff>
          <xdr:row>64</xdr:row>
          <xdr:rowOff>38100</xdr:rowOff>
        </xdr:to>
        <xdr:sp macro="" textlink="">
          <xdr:nvSpPr>
            <xdr:cNvPr id="46152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300-000048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938348</xdr:colOff>
      <xdr:row>102</xdr:row>
      <xdr:rowOff>22859</xdr:rowOff>
    </xdr:from>
    <xdr:to>
      <xdr:col>16</xdr:col>
      <xdr:colOff>76195</xdr:colOff>
      <xdr:row>114</xdr:row>
      <xdr:rowOff>34013</xdr:rowOff>
    </xdr:to>
    <xdr:grpSp>
      <xdr:nvGrpSpPr>
        <xdr:cNvPr id="110" name="Agrupar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GrpSpPr/>
      </xdr:nvGrpSpPr>
      <xdr:grpSpPr>
        <a:xfrm>
          <a:off x="5157923" y="17491709"/>
          <a:ext cx="2957372" cy="2182854"/>
          <a:chOff x="5249487" y="17791734"/>
          <a:chExt cx="3245645" cy="2365535"/>
        </a:xfrm>
      </xdr:grpSpPr>
      <xdr:grpSp>
        <xdr:nvGrpSpPr>
          <xdr:cNvPr id="111" name="Grupo 1">
            <a:extLst>
              <a:ext uri="{FF2B5EF4-FFF2-40B4-BE49-F238E27FC236}">
                <a16:creationId xmlns:a16="http://schemas.microsoft.com/office/drawing/2014/main" id="{00000000-0008-0000-0300-00006F000000}"/>
              </a:ext>
            </a:extLst>
          </xdr:cNvPr>
          <xdr:cNvGrpSpPr/>
        </xdr:nvGrpSpPr>
        <xdr:grpSpPr>
          <a:xfrm>
            <a:off x="5358607" y="17791734"/>
            <a:ext cx="3136525" cy="2365535"/>
            <a:chOff x="12007892" y="28838754"/>
            <a:chExt cx="3028012" cy="2412519"/>
          </a:xfrm>
        </xdr:grpSpPr>
        <xdr:pic>
          <xdr:nvPicPr>
            <xdr:cNvPr id="116" name="Imagem 2" descr="ist2_426832_human_anatomy_male_muscles.jpg">
              <a:extLst>
                <a:ext uri="{FF2B5EF4-FFF2-40B4-BE49-F238E27FC236}">
                  <a16:creationId xmlns:a16="http://schemas.microsoft.com/office/drawing/2014/main" id="{00000000-0008-0000-0300-00007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48386" y="28967655"/>
              <a:ext cx="2595563" cy="2283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SpPr txBox="1"/>
          </xdr:nvSpPr>
          <xdr:spPr>
            <a:xfrm>
              <a:off x="12007892" y="28838754"/>
              <a:ext cx="759619" cy="2405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Peitoral</a:t>
              </a:r>
            </a:p>
          </xdr:txBody>
        </xdr:sp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SpPr txBox="1"/>
          </xdr:nvSpPr>
          <xdr:spPr>
            <a:xfrm>
              <a:off x="13051520" y="29284247"/>
              <a:ext cx="805957" cy="1545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Abdominal</a:t>
              </a:r>
            </a:p>
          </xdr:txBody>
        </xdr:sp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SpPr txBox="1"/>
          </xdr:nvSpPr>
          <xdr:spPr>
            <a:xfrm>
              <a:off x="12100761" y="30327349"/>
              <a:ext cx="528638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Coxa</a:t>
              </a:r>
            </a:p>
          </xdr:txBody>
        </xdr:sp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300-000078000000}"/>
                </a:ext>
              </a:extLst>
            </xdr:cNvPr>
            <xdr:cNvSpPr txBox="1"/>
          </xdr:nvSpPr>
          <xdr:spPr>
            <a:xfrm>
              <a:off x="14331991" y="29274836"/>
              <a:ext cx="631016" cy="2056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Tríceps</a:t>
              </a:r>
            </a:p>
          </xdr:txBody>
        </xdr:sp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300-000079000000}"/>
                </a:ext>
              </a:extLst>
            </xdr:cNvPr>
            <xdr:cNvSpPr txBox="1"/>
          </xdr:nvSpPr>
          <xdr:spPr>
            <a:xfrm>
              <a:off x="14081961" y="28900980"/>
              <a:ext cx="953943" cy="2628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Subescapular</a:t>
              </a:r>
            </a:p>
          </xdr:txBody>
        </xdr:sp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300-00007A000000}"/>
                </a:ext>
              </a:extLst>
            </xdr:cNvPr>
            <xdr:cNvSpPr txBox="1"/>
          </xdr:nvSpPr>
          <xdr:spPr>
            <a:xfrm rot="17626162">
              <a:off x="11849474" y="29464643"/>
              <a:ext cx="802469" cy="3413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Supra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ilíaca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3" name="Conector de seta reta 44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stCxn id="121" idx="2"/>
            </xdr:cNvCxnSpPr>
          </xdr:nvCxnSpPr>
          <xdr:spPr>
            <a:xfrm flipH="1">
              <a:off x="14158162" y="29163795"/>
              <a:ext cx="400771" cy="42774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4" name="Conector de seta reta 45">
              <a:extLst>
                <a:ext uri="{FF2B5EF4-FFF2-40B4-BE49-F238E27FC236}">
                  <a16:creationId xmlns:a16="http://schemas.microsoft.com/office/drawing/2014/main" id="{00000000-0008-0000-0300-00007C000000}"/>
                </a:ext>
              </a:extLst>
            </xdr:cNvPr>
            <xdr:cNvCxnSpPr>
              <a:stCxn id="120" idx="2"/>
            </xdr:cNvCxnSpPr>
          </xdr:nvCxnSpPr>
          <xdr:spPr>
            <a:xfrm flipH="1">
              <a:off x="14360568" y="29480504"/>
              <a:ext cx="286932" cy="11103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5" name="Conector de seta reta 47">
              <a:extLst>
                <a:ext uri="{FF2B5EF4-FFF2-40B4-BE49-F238E27FC236}">
                  <a16:creationId xmlns:a16="http://schemas.microsoft.com/office/drawing/2014/main" id="{00000000-0008-0000-0300-00007D000000}"/>
                </a:ext>
              </a:extLst>
            </xdr:cNvPr>
            <xdr:cNvCxnSpPr>
              <a:stCxn id="119" idx="0"/>
            </xdr:cNvCxnSpPr>
          </xdr:nvCxnSpPr>
          <xdr:spPr>
            <a:xfrm rot="5400000" flipH="1" flipV="1">
              <a:off x="12492476" y="30133277"/>
              <a:ext cx="66676" cy="32146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6" name="Conector de seta reta 49">
              <a:extLst>
                <a:ext uri="{FF2B5EF4-FFF2-40B4-BE49-F238E27FC236}">
                  <a16:creationId xmlns:a16="http://schemas.microsoft.com/office/drawing/2014/main" id="{00000000-0008-0000-0300-00007E000000}"/>
                </a:ext>
              </a:extLst>
            </xdr:cNvPr>
            <xdr:cNvCxnSpPr/>
          </xdr:nvCxnSpPr>
          <xdr:spPr>
            <a:xfrm>
              <a:off x="12369997" y="29758122"/>
              <a:ext cx="313947" cy="13810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7" name="Conector de seta reta 50">
              <a:extLst>
                <a:ext uri="{FF2B5EF4-FFF2-40B4-BE49-F238E27FC236}">
                  <a16:creationId xmlns:a16="http://schemas.microsoft.com/office/drawing/2014/main" id="{00000000-0008-0000-0300-00007F000000}"/>
                </a:ext>
              </a:extLst>
            </xdr:cNvPr>
            <xdr:cNvCxnSpPr/>
          </xdr:nvCxnSpPr>
          <xdr:spPr>
            <a:xfrm flipH="1">
              <a:off x="12809848" y="29514787"/>
              <a:ext cx="458897" cy="321742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8" name="Conector de seta reta 51">
              <a:extLst>
                <a:ext uri="{FF2B5EF4-FFF2-40B4-BE49-F238E27FC236}">
                  <a16:creationId xmlns:a16="http://schemas.microsoft.com/office/drawing/2014/main" id="{00000000-0008-0000-0300-000080000000}"/>
                </a:ext>
              </a:extLst>
            </xdr:cNvPr>
            <xdr:cNvCxnSpPr/>
          </xdr:nvCxnSpPr>
          <xdr:spPr>
            <a:xfrm flipH="1">
              <a:off x="12697251" y="29208160"/>
              <a:ext cx="565561" cy="398401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9" name="Conector de seta reta 52">
              <a:extLst>
                <a:ext uri="{FF2B5EF4-FFF2-40B4-BE49-F238E27FC236}">
                  <a16:creationId xmlns:a16="http://schemas.microsoft.com/office/drawing/2014/main" id="{00000000-0008-0000-0300-000081000000}"/>
                </a:ext>
              </a:extLst>
            </xdr:cNvPr>
            <xdr:cNvCxnSpPr/>
          </xdr:nvCxnSpPr>
          <xdr:spPr>
            <a:xfrm>
              <a:off x="12375896" y="29055422"/>
              <a:ext cx="306342" cy="43218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30" name="CaixaDeTexto 129">
              <a:extLst>
                <a:ext uri="{FF2B5EF4-FFF2-40B4-BE49-F238E27FC236}">
                  <a16:creationId xmlns:a16="http://schemas.microsoft.com/office/drawing/2014/main" id="{00000000-0008-0000-0300-000082000000}"/>
                </a:ext>
              </a:extLst>
            </xdr:cNvPr>
            <xdr:cNvSpPr txBox="1"/>
          </xdr:nvSpPr>
          <xdr:spPr>
            <a:xfrm>
              <a:off x="13065745" y="28855423"/>
              <a:ext cx="835819" cy="3656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Axilar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média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</xdr:grpSp>
      <xdr:cxnSp macro="">
        <xdr:nvCxnSpPr>
          <xdr:cNvPr id="112" name="Conector de seta reta 47">
            <a:extLst>
              <a:ext uri="{FF2B5EF4-FFF2-40B4-BE49-F238E27FC236}">
                <a16:creationId xmlns:a16="http://schemas.microsoft.com/office/drawing/2014/main" id="{00000000-0008-0000-0300-000070000000}"/>
              </a:ext>
            </a:extLst>
          </xdr:cNvPr>
          <xdr:cNvCxnSpPr/>
        </xdr:nvCxnSpPr>
        <xdr:spPr>
          <a:xfrm flipH="1">
            <a:off x="6088224" y="19508755"/>
            <a:ext cx="575388" cy="202163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3" name="CaixaDeTexto 112">
            <a:extLst>
              <a:ext uri="{FF2B5EF4-FFF2-40B4-BE49-F238E27FC236}">
                <a16:creationId xmlns:a16="http://schemas.microsoft.com/office/drawing/2014/main" id="{00000000-0008-0000-0300-000071000000}"/>
              </a:ext>
            </a:extLst>
          </xdr:cNvPr>
          <xdr:cNvSpPr txBox="1"/>
        </xdr:nvSpPr>
        <xdr:spPr>
          <a:xfrm>
            <a:off x="6431412" y="19267075"/>
            <a:ext cx="865772" cy="137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Panturrilha</a:t>
            </a:r>
          </a:p>
        </xdr:txBody>
      </xdr:sp>
      <xdr:cxnSp macro="">
        <xdr:nvCxnSpPr>
          <xdr:cNvPr id="114" name="Conector de seta reta 52">
            <a:extLst>
              <a:ext uri="{FF2B5EF4-FFF2-40B4-BE49-F238E27FC236}">
                <a16:creationId xmlns:a16="http://schemas.microsoft.com/office/drawing/2014/main" id="{00000000-0008-0000-0300-000072000000}"/>
              </a:ext>
            </a:extLst>
          </xdr:cNvPr>
          <xdr:cNvCxnSpPr/>
        </xdr:nvCxnSpPr>
        <xdr:spPr>
          <a:xfrm>
            <a:off x="5722776" y="18272449"/>
            <a:ext cx="224279" cy="286285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5" name="CaixaDeTexto 114">
            <a:extLst>
              <a:ext uri="{FF2B5EF4-FFF2-40B4-BE49-F238E27FC236}">
                <a16:creationId xmlns:a16="http://schemas.microsoft.com/office/drawing/2014/main" id="{00000000-0008-0000-0300-000073000000}"/>
              </a:ext>
            </a:extLst>
          </xdr:cNvPr>
          <xdr:cNvSpPr txBox="1"/>
        </xdr:nvSpPr>
        <xdr:spPr>
          <a:xfrm>
            <a:off x="5249487" y="18100992"/>
            <a:ext cx="786841" cy="23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Bíceps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184</xdr:row>
          <xdr:rowOff>182880</xdr:rowOff>
        </xdr:from>
        <xdr:to>
          <xdr:col>7</xdr:col>
          <xdr:colOff>571500</xdr:colOff>
          <xdr:row>186</xdr:row>
          <xdr:rowOff>60960</xdr:rowOff>
        </xdr:to>
        <xdr:sp macro="" textlink="">
          <xdr:nvSpPr>
            <xdr:cNvPr id="46153" name="Caixa de seleção 112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300-000049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190</xdr:row>
          <xdr:rowOff>0</xdr:rowOff>
        </xdr:from>
        <xdr:to>
          <xdr:col>9</xdr:col>
          <xdr:colOff>685800</xdr:colOff>
          <xdr:row>191</xdr:row>
          <xdr:rowOff>60960</xdr:rowOff>
        </xdr:to>
        <xdr:sp macro="" textlink="">
          <xdr:nvSpPr>
            <xdr:cNvPr id="46154" name="Caixa de seleção 112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300-00004A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7776</xdr:colOff>
      <xdr:row>170</xdr:row>
      <xdr:rowOff>177436</xdr:rowOff>
    </xdr:from>
    <xdr:to>
      <xdr:col>12</xdr:col>
      <xdr:colOff>7774</xdr:colOff>
      <xdr:row>186</xdr:row>
      <xdr:rowOff>72369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496" y="24797656"/>
          <a:ext cx="1188718" cy="21733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170</xdr:row>
      <xdr:rowOff>178837</xdr:rowOff>
    </xdr:from>
    <xdr:to>
      <xdr:col>15</xdr:col>
      <xdr:colOff>15551</xdr:colOff>
      <xdr:row>186</xdr:row>
      <xdr:rowOff>61483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320" y="24799057"/>
          <a:ext cx="1204271" cy="2161026"/>
        </a:xfrm>
        <a:prstGeom prst="rect">
          <a:avLst/>
        </a:prstGeom>
      </xdr:spPr>
    </xdr:pic>
    <xdr:clientData/>
  </xdr:twoCellAnchor>
  <xdr:twoCellAnchor editAs="oneCell">
    <xdr:from>
      <xdr:col>6</xdr:col>
      <xdr:colOff>89728</xdr:colOff>
      <xdr:row>189</xdr:row>
      <xdr:rowOff>4666</xdr:rowOff>
    </xdr:from>
    <xdr:to>
      <xdr:col>8</xdr:col>
      <xdr:colOff>11039</xdr:colOff>
      <xdr:row>204</xdr:row>
      <xdr:rowOff>68792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168" y="27429046"/>
          <a:ext cx="1201471" cy="2144386"/>
        </a:xfrm>
        <a:prstGeom prst="rect">
          <a:avLst/>
        </a:prstGeom>
      </xdr:spPr>
    </xdr:pic>
    <xdr:clientData/>
  </xdr:twoCellAnchor>
  <xdr:twoCellAnchor editAs="oneCell">
    <xdr:from>
      <xdr:col>12</xdr:col>
      <xdr:colOff>180392</xdr:colOff>
      <xdr:row>189</xdr:row>
      <xdr:rowOff>9332</xdr:rowOff>
    </xdr:from>
    <xdr:to>
      <xdr:col>15</xdr:col>
      <xdr:colOff>9331</xdr:colOff>
      <xdr:row>204</xdr:row>
      <xdr:rowOff>73458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832" y="27433712"/>
          <a:ext cx="1200539" cy="21443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199</xdr:row>
          <xdr:rowOff>7620</xdr:rowOff>
        </xdr:from>
        <xdr:to>
          <xdr:col>5</xdr:col>
          <xdr:colOff>708660</xdr:colOff>
          <xdr:row>200</xdr:row>
          <xdr:rowOff>60960</xdr:rowOff>
        </xdr:to>
        <xdr:sp macro="" textlink="">
          <xdr:nvSpPr>
            <xdr:cNvPr id="46155" name="Caixa de seleção 68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300-00004B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845820</xdr:colOff>
          <xdr:row>211</xdr:row>
          <xdr:rowOff>0</xdr:rowOff>
        </xdr:from>
        <xdr:to>
          <xdr:col>7</xdr:col>
          <xdr:colOff>403860</xdr:colOff>
          <xdr:row>212</xdr:row>
          <xdr:rowOff>60960</xdr:rowOff>
        </xdr:to>
        <xdr:sp macro="" textlink="">
          <xdr:nvSpPr>
            <xdr:cNvPr id="46156" name="Caixa de seleção 82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300-00004C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Supinado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192</xdr:row>
          <xdr:rowOff>175260</xdr:rowOff>
        </xdr:from>
        <xdr:to>
          <xdr:col>10</xdr:col>
          <xdr:colOff>38100</xdr:colOff>
          <xdr:row>194</xdr:row>
          <xdr:rowOff>68580</xdr:rowOff>
        </xdr:to>
        <xdr:sp macro="" textlink="">
          <xdr:nvSpPr>
            <xdr:cNvPr id="46157" name="Caixa de seleção 99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300-00004D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192</xdr:row>
          <xdr:rowOff>175260</xdr:rowOff>
        </xdr:from>
        <xdr:to>
          <xdr:col>12</xdr:col>
          <xdr:colOff>144780</xdr:colOff>
          <xdr:row>194</xdr:row>
          <xdr:rowOff>68580</xdr:rowOff>
        </xdr:to>
        <xdr:sp macro="" textlink="">
          <xdr:nvSpPr>
            <xdr:cNvPr id="46158" name="Caixa de seleção 100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300-00004E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99060</xdr:colOff>
      <xdr:row>103</xdr:row>
      <xdr:rowOff>49530</xdr:rowOff>
    </xdr:from>
    <xdr:to>
      <xdr:col>9</xdr:col>
      <xdr:colOff>982980</xdr:colOff>
      <xdr:row>112</xdr:row>
      <xdr:rowOff>129540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30480</xdr:colOff>
      <xdr:row>103</xdr:row>
      <xdr:rowOff>41910</xdr:rowOff>
    </xdr:from>
    <xdr:to>
      <xdr:col>6</xdr:col>
      <xdr:colOff>83820</xdr:colOff>
      <xdr:row>112</xdr:row>
      <xdr:rowOff>121920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148</xdr:row>
      <xdr:rowOff>142875</xdr:rowOff>
    </xdr:from>
    <xdr:to>
      <xdr:col>3</xdr:col>
      <xdr:colOff>758960</xdr:colOff>
      <xdr:row>153</xdr:row>
      <xdr:rowOff>117180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21494115"/>
          <a:ext cx="587509" cy="88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153</xdr:row>
      <xdr:rowOff>171450</xdr:rowOff>
    </xdr:from>
    <xdr:to>
      <xdr:col>3</xdr:col>
      <xdr:colOff>765729</xdr:colOff>
      <xdr:row>158</xdr:row>
      <xdr:rowOff>116841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1" y="22437090"/>
          <a:ext cx="632378" cy="85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158</xdr:row>
      <xdr:rowOff>142875</xdr:rowOff>
    </xdr:from>
    <xdr:to>
      <xdr:col>3</xdr:col>
      <xdr:colOff>796424</xdr:colOff>
      <xdr:row>162</xdr:row>
      <xdr:rowOff>155036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23322915"/>
          <a:ext cx="682124" cy="7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90736</xdr:colOff>
      <xdr:row>278</xdr:row>
      <xdr:rowOff>100265</xdr:rowOff>
    </xdr:from>
    <xdr:to>
      <xdr:col>5</xdr:col>
      <xdr:colOff>491557</xdr:colOff>
      <xdr:row>284</xdr:row>
      <xdr:rowOff>73272</xdr:rowOff>
    </xdr:to>
    <xdr:pic>
      <xdr:nvPicPr>
        <xdr:cNvPr id="5" name="Imagem 61" descr="flexao de braço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16" y="42688445"/>
          <a:ext cx="1589541" cy="1093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80213</xdr:colOff>
      <xdr:row>269</xdr:row>
      <xdr:rowOff>160417</xdr:rowOff>
    </xdr:from>
    <xdr:to>
      <xdr:col>5</xdr:col>
      <xdr:colOff>879141</xdr:colOff>
      <xdr:row>275</xdr:row>
      <xdr:rowOff>73165</xdr:rowOff>
    </xdr:to>
    <xdr:pic>
      <xdr:nvPicPr>
        <xdr:cNvPr id="6" name="Imagem 62" descr="abdominal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7"/>
        <a:stretch/>
      </xdr:blipFill>
      <xdr:spPr bwMode="auto">
        <a:xfrm>
          <a:off x="545033" y="41079817"/>
          <a:ext cx="2086708" cy="103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90639</xdr:colOff>
      <xdr:row>82</xdr:row>
      <xdr:rowOff>58556</xdr:rowOff>
    </xdr:from>
    <xdr:to>
      <xdr:col>15</xdr:col>
      <xdr:colOff>8020</xdr:colOff>
      <xdr:row>96</xdr:row>
      <xdr:rowOff>81016</xdr:rowOff>
    </xdr:to>
    <xdr:grpSp>
      <xdr:nvGrpSpPr>
        <xdr:cNvPr id="7" name="Grupo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6662889" y="13850756"/>
          <a:ext cx="1288981" cy="2594210"/>
          <a:chOff x="8091237" y="5313948"/>
          <a:chExt cx="1843521" cy="3157970"/>
        </a:xfrm>
      </xdr:grpSpPr>
      <xdr:grpSp>
        <xdr:nvGrpSpPr>
          <xdr:cNvPr id="8" name="Grupo 2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GrpSpPr/>
        </xdr:nvGrpSpPr>
        <xdr:grpSpPr>
          <a:xfrm>
            <a:off x="8091237" y="5313948"/>
            <a:ext cx="1843521" cy="3157970"/>
            <a:chOff x="8813132" y="5514474"/>
            <a:chExt cx="1843521" cy="3157970"/>
          </a:xfrm>
        </xdr:grpSpPr>
        <xdr:pic>
          <xdr:nvPicPr>
            <xdr:cNvPr id="11" name="Imagem 1" descr="masculino_frente.jpg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13132" y="5514474"/>
              <a:ext cx="1843521" cy="31579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" name="Seta para a esquerda e para a direita 114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/>
          </xdr:nvSpPr>
          <xdr:spPr>
            <a:xfrm>
              <a:off x="9439185" y="7016827"/>
              <a:ext cx="648565" cy="95250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3" name="Seta para a esquerda e para a direita 115">
              <a:extLst>
                <a:ext uri="{FF2B5EF4-FFF2-40B4-BE49-F238E27FC236}">
                  <a16:creationId xmlns:a16="http://schemas.microsoft.com/office/drawing/2014/main" id="{00000000-0008-0000-0400-00000D000000}"/>
                </a:ext>
              </a:extLst>
            </xdr:cNvPr>
            <xdr:cNvSpPr/>
          </xdr:nvSpPr>
          <xdr:spPr>
            <a:xfrm>
              <a:off x="9490273" y="6217592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4" name="Seta para a esquerda e para a direita 116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SpPr/>
          </xdr:nvSpPr>
          <xdr:spPr>
            <a:xfrm>
              <a:off x="9490273" y="6508358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5" name="Seta para a esquerda e para a direita 117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SpPr/>
          </xdr:nvSpPr>
          <xdr:spPr>
            <a:xfrm rot="19807583">
              <a:off x="10149931" y="663444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6" name="Seta para a esquerda e para a direita 118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SpPr/>
          </xdr:nvSpPr>
          <xdr:spPr>
            <a:xfrm rot="19807583">
              <a:off x="10041837" y="639439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7" name="Seta para a esquerda e para a direita 119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SpPr/>
          </xdr:nvSpPr>
          <xdr:spPr>
            <a:xfrm rot="1606633">
              <a:off x="9189784" y="6624919"/>
              <a:ext cx="196781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8" name="Seta para a esquerda e para a direita 120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SpPr/>
          </xdr:nvSpPr>
          <xdr:spPr>
            <a:xfrm rot="1606633">
              <a:off x="9282932" y="6404880"/>
              <a:ext cx="191819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9" name="Seta para a esquerda e para a direita 121">
              <a:extLst>
                <a:ext uri="{FF2B5EF4-FFF2-40B4-BE49-F238E27FC236}">
                  <a16:creationId xmlns:a16="http://schemas.microsoft.com/office/drawing/2014/main" id="{00000000-0008-0000-0400-000013000000}"/>
                </a:ext>
              </a:extLst>
            </xdr:cNvPr>
            <xdr:cNvSpPr/>
          </xdr:nvSpPr>
          <xdr:spPr>
            <a:xfrm>
              <a:off x="9410037" y="7305356"/>
              <a:ext cx="341801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0" name="Seta para a esquerda e para a direita 122">
              <a:extLst>
                <a:ext uri="{FF2B5EF4-FFF2-40B4-BE49-F238E27FC236}">
                  <a16:creationId xmlns:a16="http://schemas.microsoft.com/office/drawing/2014/main" id="{00000000-0008-0000-0400-000014000000}"/>
                </a:ext>
              </a:extLst>
            </xdr:cNvPr>
            <xdr:cNvSpPr/>
          </xdr:nvSpPr>
          <xdr:spPr>
            <a:xfrm>
              <a:off x="9797108" y="7302573"/>
              <a:ext cx="336838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1" name="Seta para a esquerda e para a direita 123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SpPr/>
          </xdr:nvSpPr>
          <xdr:spPr>
            <a:xfrm>
              <a:off x="9951258" y="7919450"/>
              <a:ext cx="256464" cy="8582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2" name="Seta para a esquerda e para a direita 124">
              <a:extLst>
                <a:ext uri="{FF2B5EF4-FFF2-40B4-BE49-F238E27FC236}">
                  <a16:creationId xmlns:a16="http://schemas.microsoft.com/office/drawing/2014/main" id="{00000000-0008-0000-0400-000016000000}"/>
                </a:ext>
              </a:extLst>
            </xdr:cNvPr>
            <xdr:cNvSpPr/>
          </xdr:nvSpPr>
          <xdr:spPr>
            <a:xfrm>
              <a:off x="9387385" y="7941282"/>
              <a:ext cx="256465" cy="87967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3" name="Heptágono 22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SpPr/>
          </xdr:nvSpPr>
          <xdr:spPr>
            <a:xfrm>
              <a:off x="9661723" y="6198542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1000"/>
                <a:t>2</a:t>
              </a:r>
            </a:p>
          </xdr:txBody>
        </xdr:sp>
        <xdr:sp macro="" textlink="">
          <xdr:nvSpPr>
            <xdr:cNvPr id="24" name="Heptágono 23">
              <a:extLst>
                <a:ext uri="{FF2B5EF4-FFF2-40B4-BE49-F238E27FC236}">
                  <a16:creationId xmlns:a16="http://schemas.microsoft.com/office/drawing/2014/main" id="{00000000-0008-0000-0400-000018000000}"/>
                </a:ext>
              </a:extLst>
            </xdr:cNvPr>
            <xdr:cNvSpPr/>
          </xdr:nvSpPr>
          <xdr:spPr>
            <a:xfrm>
              <a:off x="9661723" y="6479783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3</a:t>
              </a:r>
            </a:p>
          </xdr:txBody>
        </xdr:sp>
        <xdr:sp macro="" textlink="">
          <xdr:nvSpPr>
            <xdr:cNvPr id="25" name="Heptágono 24">
              <a:extLst>
                <a:ext uri="{FF2B5EF4-FFF2-40B4-BE49-F238E27FC236}">
                  <a16:creationId xmlns:a16="http://schemas.microsoft.com/office/drawing/2014/main" id="{00000000-0008-0000-0400-000019000000}"/>
                </a:ext>
              </a:extLst>
            </xdr:cNvPr>
            <xdr:cNvSpPr/>
          </xdr:nvSpPr>
          <xdr:spPr>
            <a:xfrm>
              <a:off x="9661723" y="6988251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5</a:t>
              </a:r>
            </a:p>
          </xdr:txBody>
        </xdr:sp>
        <xdr:sp macro="" textlink="">
          <xdr:nvSpPr>
            <xdr:cNvPr id="26" name="Heptágono 25">
              <a:extLst>
                <a:ext uri="{FF2B5EF4-FFF2-40B4-BE49-F238E27FC236}">
                  <a16:creationId xmlns:a16="http://schemas.microsoft.com/office/drawing/2014/main" id="{00000000-0008-0000-0400-00001A000000}"/>
                </a:ext>
              </a:extLst>
            </xdr:cNvPr>
            <xdr:cNvSpPr/>
          </xdr:nvSpPr>
          <xdr:spPr>
            <a:xfrm>
              <a:off x="9661723" y="7263610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800"/>
                <a:t>8</a:t>
              </a:r>
            </a:p>
          </xdr:txBody>
        </xdr:sp>
        <xdr:sp macro="" textlink="">
          <xdr:nvSpPr>
            <xdr:cNvPr id="27" name="Heptágono 26">
              <a:extLst>
                <a:ext uri="{FF2B5EF4-FFF2-40B4-BE49-F238E27FC236}">
                  <a16:creationId xmlns:a16="http://schemas.microsoft.com/office/drawing/2014/main" id="{00000000-0008-0000-0400-00001B000000}"/>
                </a:ext>
              </a:extLst>
            </xdr:cNvPr>
            <xdr:cNvSpPr/>
          </xdr:nvSpPr>
          <xdr:spPr>
            <a:xfrm>
              <a:off x="9690298" y="7901785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9</a:t>
              </a:r>
            </a:p>
          </xdr:txBody>
        </xdr:sp>
        <xdr:sp macro="" textlink="">
          <xdr:nvSpPr>
            <xdr:cNvPr id="28" name="Heptágono 27">
              <a:extLst>
                <a:ext uri="{FF2B5EF4-FFF2-40B4-BE49-F238E27FC236}">
                  <a16:creationId xmlns:a16="http://schemas.microsoft.com/office/drawing/2014/main" id="{00000000-0008-0000-0400-00001C000000}"/>
                </a:ext>
              </a:extLst>
            </xdr:cNvPr>
            <xdr:cNvSpPr/>
          </xdr:nvSpPr>
          <xdr:spPr>
            <a:xfrm>
              <a:off x="9060481" y="6293158"/>
              <a:ext cx="213515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6</a:t>
              </a:r>
            </a:p>
          </xdr:txBody>
        </xdr:sp>
        <xdr:sp macro="" textlink="">
          <xdr:nvSpPr>
            <xdr:cNvPr id="29" name="Heptágono 28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/>
          </xdr:nvSpPr>
          <xdr:spPr>
            <a:xfrm>
              <a:off x="8946482" y="65128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7</a:t>
              </a:r>
            </a:p>
          </xdr:txBody>
        </xdr:sp>
        <xdr:sp macro="" textlink="">
          <xdr:nvSpPr>
            <xdr:cNvPr id="30" name="Seta para a esquerda e para a direita 139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/>
          </xdr:nvSpPr>
          <xdr:spPr>
            <a:xfrm>
              <a:off x="9353461" y="6084242"/>
              <a:ext cx="810490" cy="11429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31" name="Heptágono 30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SpPr/>
          </xdr:nvSpPr>
          <xdr:spPr>
            <a:xfrm>
              <a:off x="9121396" y="60556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1</a:t>
              </a:r>
            </a:p>
          </xdr:txBody>
        </xdr:sp>
      </xdr:grpSp>
      <xdr:sp macro="" textlink="">
        <xdr:nvSpPr>
          <xdr:cNvPr id="9" name="Seta para a esquerda e para a direita 141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8773027" y="6515601"/>
            <a:ext cx="530802" cy="95249"/>
          </a:xfrm>
          <a:prstGeom prst="leftRightArrow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10" name="Heptágon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8944477" y="6487026"/>
            <a:ext cx="213516" cy="142875"/>
          </a:xfrm>
          <a:prstGeom prst="heptagon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r>
              <a:rPr lang="en-US" sz="900"/>
              <a:t>4</a:t>
            </a:r>
          </a:p>
        </xdr:txBody>
      </xdr:sp>
    </xdr:grpSp>
    <xdr:clientData/>
  </xdr:twoCellAnchor>
  <xdr:twoCellAnchor editAs="oneCell">
    <xdr:from>
      <xdr:col>4</xdr:col>
      <xdr:colOff>160421</xdr:colOff>
      <xdr:row>218</xdr:row>
      <xdr:rowOff>168444</xdr:rowOff>
    </xdr:from>
    <xdr:to>
      <xdr:col>13</xdr:col>
      <xdr:colOff>40907</xdr:colOff>
      <xdr:row>263</xdr:row>
      <xdr:rowOff>187304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5771" t="15378" r="38039" b="20225"/>
        <a:stretch/>
      </xdr:blipFill>
      <xdr:spPr>
        <a:xfrm>
          <a:off x="1730141" y="31570464"/>
          <a:ext cx="5062086" cy="84313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18</xdr:row>
          <xdr:rowOff>91440</xdr:rowOff>
        </xdr:from>
        <xdr:to>
          <xdr:col>3</xdr:col>
          <xdr:colOff>975360</xdr:colOff>
          <xdr:row>20</xdr:row>
          <xdr:rowOff>0</xdr:rowOff>
        </xdr:to>
        <xdr:sp macro="" textlink="">
          <xdr:nvSpPr>
            <xdr:cNvPr id="47105" name="Caixa de seleção 2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4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Hipertrofia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91440</xdr:rowOff>
        </xdr:from>
        <xdr:to>
          <xdr:col>5</xdr:col>
          <xdr:colOff>731520</xdr:colOff>
          <xdr:row>20</xdr:row>
          <xdr:rowOff>0</xdr:rowOff>
        </xdr:to>
        <xdr:sp macro="" textlink="">
          <xdr:nvSpPr>
            <xdr:cNvPr id="47106" name="Caixa de seleção 3" hidden="1">
              <a:extLst>
                <a:ext uri="{63B3BB69-23CF-44E3-9099-C40C66FF867C}">
                  <a14:compatExt spid="_x0000_s43010"/>
                </a:ext>
                <a:ext uri="{FF2B5EF4-FFF2-40B4-BE49-F238E27FC236}">
                  <a16:creationId xmlns:a16="http://schemas.microsoft.com/office/drawing/2014/main" id="{00000000-0008-0000-04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18</xdr:row>
          <xdr:rowOff>91440</xdr:rowOff>
        </xdr:from>
        <xdr:to>
          <xdr:col>9</xdr:col>
          <xdr:colOff>1089660</xdr:colOff>
          <xdr:row>20</xdr:row>
          <xdr:rowOff>0</xdr:rowOff>
        </xdr:to>
        <xdr:sp macro="" textlink="">
          <xdr:nvSpPr>
            <xdr:cNvPr id="47107" name="Caixa de seleção 4" hidden="1">
              <a:extLst>
                <a:ext uri="{63B3BB69-23CF-44E3-9099-C40C66FF867C}">
                  <a14:compatExt spid="_x0000_s43011"/>
                </a:ext>
                <a:ext uri="{FF2B5EF4-FFF2-40B4-BE49-F238E27FC236}">
                  <a16:creationId xmlns:a16="http://schemas.microsoft.com/office/drawing/2014/main" id="{00000000-0008-0000-0400-00000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Saúde/ Bem estar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91440</xdr:rowOff>
        </xdr:from>
        <xdr:to>
          <xdr:col>7</xdr:col>
          <xdr:colOff>990600</xdr:colOff>
          <xdr:row>20</xdr:row>
          <xdr:rowOff>0</xdr:rowOff>
        </xdr:to>
        <xdr:sp macro="" textlink="">
          <xdr:nvSpPr>
            <xdr:cNvPr id="47108" name="Caixa de seleção 5" hidden="1">
              <a:extLst>
                <a:ext uri="{63B3BB69-23CF-44E3-9099-C40C66FF867C}">
                  <a14:compatExt spid="_x0000_s43012"/>
                </a:ext>
                <a:ext uri="{FF2B5EF4-FFF2-40B4-BE49-F238E27FC236}">
                  <a16:creationId xmlns:a16="http://schemas.microsoft.com/office/drawing/2014/main" id="{00000000-0008-0000-0400-00000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Definição Muscular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18</xdr:row>
          <xdr:rowOff>91440</xdr:rowOff>
        </xdr:from>
        <xdr:to>
          <xdr:col>12</xdr:col>
          <xdr:colOff>60960</xdr:colOff>
          <xdr:row>20</xdr:row>
          <xdr:rowOff>0</xdr:rowOff>
        </xdr:to>
        <xdr:sp macro="" textlink="">
          <xdr:nvSpPr>
            <xdr:cNvPr id="47109" name="Caixa de seleção 6" hidden="1">
              <a:extLst>
                <a:ext uri="{63B3BB69-23CF-44E3-9099-C40C66FF867C}">
                  <a14:compatExt spid="_x0000_s43013"/>
                </a:ext>
                <a:ext uri="{FF2B5EF4-FFF2-40B4-BE49-F238E27FC236}">
                  <a16:creationId xmlns:a16="http://schemas.microsoft.com/office/drawing/2014/main" id="{00000000-0008-0000-0400-00000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Emagrecimento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</xdr:colOff>
          <xdr:row>18</xdr:row>
          <xdr:rowOff>83820</xdr:rowOff>
        </xdr:from>
        <xdr:to>
          <xdr:col>14</xdr:col>
          <xdr:colOff>106680</xdr:colOff>
          <xdr:row>20</xdr:row>
          <xdr:rowOff>0</xdr:rowOff>
        </xdr:to>
        <xdr:sp macro="" textlink="">
          <xdr:nvSpPr>
            <xdr:cNvPr id="47110" name="Caixa de seleção 6" hidden="1">
              <a:extLst>
                <a:ext uri="{63B3BB69-23CF-44E3-9099-C40C66FF867C}">
                  <a14:compatExt spid="_x0000_s43014"/>
                </a:ext>
                <a:ext uri="{FF2B5EF4-FFF2-40B4-BE49-F238E27FC236}">
                  <a16:creationId xmlns:a16="http://schemas.microsoft.com/office/drawing/2014/main" id="{00000000-0008-0000-0400-00000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Preparação Física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169</xdr:row>
          <xdr:rowOff>175260</xdr:rowOff>
        </xdr:from>
        <xdr:to>
          <xdr:col>5</xdr:col>
          <xdr:colOff>579120</xdr:colOff>
          <xdr:row>171</xdr:row>
          <xdr:rowOff>38100</xdr:rowOff>
        </xdr:to>
        <xdr:sp macro="" textlink="">
          <xdr:nvSpPr>
            <xdr:cNvPr id="47111" name="Caixa de seleção 42" hidden="1">
              <a:extLst>
                <a:ext uri="{63B3BB69-23CF-44E3-9099-C40C66FF867C}">
                  <a14:compatExt spid="_x0000_s43015"/>
                </a:ext>
                <a:ext uri="{FF2B5EF4-FFF2-40B4-BE49-F238E27FC236}">
                  <a16:creationId xmlns:a16="http://schemas.microsoft.com/office/drawing/2014/main" id="{00000000-0008-0000-0400-00000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169</xdr:row>
          <xdr:rowOff>175260</xdr:rowOff>
        </xdr:from>
        <xdr:to>
          <xdr:col>7</xdr:col>
          <xdr:colOff>579120</xdr:colOff>
          <xdr:row>171</xdr:row>
          <xdr:rowOff>38100</xdr:rowOff>
        </xdr:to>
        <xdr:sp macro="" textlink="">
          <xdr:nvSpPr>
            <xdr:cNvPr id="47112" name="Caixa de seleção 44" hidden="1">
              <a:extLst>
                <a:ext uri="{63B3BB69-23CF-44E3-9099-C40C66FF867C}">
                  <a14:compatExt spid="_x0000_s43016"/>
                </a:ext>
                <a:ext uri="{FF2B5EF4-FFF2-40B4-BE49-F238E27FC236}">
                  <a16:creationId xmlns:a16="http://schemas.microsoft.com/office/drawing/2014/main" id="{00000000-0008-0000-0400-00000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169</xdr:row>
          <xdr:rowOff>175260</xdr:rowOff>
        </xdr:from>
        <xdr:to>
          <xdr:col>9</xdr:col>
          <xdr:colOff>579120</xdr:colOff>
          <xdr:row>171</xdr:row>
          <xdr:rowOff>38100</xdr:rowOff>
        </xdr:to>
        <xdr:sp macro="" textlink="">
          <xdr:nvSpPr>
            <xdr:cNvPr id="47113" name="Caixa de seleção 45" hidden="1">
              <a:extLst>
                <a:ext uri="{63B3BB69-23CF-44E3-9099-C40C66FF867C}">
                  <a14:compatExt spid="_x0000_s43017"/>
                </a:ext>
                <a:ext uri="{FF2B5EF4-FFF2-40B4-BE49-F238E27FC236}">
                  <a16:creationId xmlns:a16="http://schemas.microsoft.com/office/drawing/2014/main" id="{00000000-0008-0000-0400-00000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Diminuida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171</xdr:row>
          <xdr:rowOff>68580</xdr:rowOff>
        </xdr:from>
        <xdr:to>
          <xdr:col>5</xdr:col>
          <xdr:colOff>609600</xdr:colOff>
          <xdr:row>173</xdr:row>
          <xdr:rowOff>38100</xdr:rowOff>
        </xdr:to>
        <xdr:sp macro="" textlink="">
          <xdr:nvSpPr>
            <xdr:cNvPr id="47114" name="Caixa de seleção 47" hidden="1">
              <a:extLst>
                <a:ext uri="{63B3BB69-23CF-44E3-9099-C40C66FF867C}">
                  <a14:compatExt spid="_x0000_s43018"/>
                </a:ext>
                <a:ext uri="{FF2B5EF4-FFF2-40B4-BE49-F238E27FC236}">
                  <a16:creationId xmlns:a16="http://schemas.microsoft.com/office/drawing/2014/main" id="{00000000-0008-0000-0400-00000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171</xdr:row>
          <xdr:rowOff>68580</xdr:rowOff>
        </xdr:from>
        <xdr:to>
          <xdr:col>7</xdr:col>
          <xdr:colOff>563880</xdr:colOff>
          <xdr:row>173</xdr:row>
          <xdr:rowOff>38100</xdr:rowOff>
        </xdr:to>
        <xdr:sp macro="" textlink="">
          <xdr:nvSpPr>
            <xdr:cNvPr id="47115" name="Caixa de seleção 48" hidden="1">
              <a:extLst>
                <a:ext uri="{63B3BB69-23CF-44E3-9099-C40C66FF867C}">
                  <a14:compatExt spid="_x0000_s43019"/>
                </a:ext>
                <a:ext uri="{FF2B5EF4-FFF2-40B4-BE49-F238E27FC236}">
                  <a16:creationId xmlns:a16="http://schemas.microsoft.com/office/drawing/2014/main" id="{00000000-0008-0000-0400-00000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171</xdr:row>
          <xdr:rowOff>68580</xdr:rowOff>
        </xdr:from>
        <xdr:to>
          <xdr:col>9</xdr:col>
          <xdr:colOff>899160</xdr:colOff>
          <xdr:row>173</xdr:row>
          <xdr:rowOff>38100</xdr:rowOff>
        </xdr:to>
        <xdr:sp macro="" textlink="">
          <xdr:nvSpPr>
            <xdr:cNvPr id="47116" name="Caixa de seleção 49" hidden="1">
              <a:extLst>
                <a:ext uri="{63B3BB69-23CF-44E3-9099-C40C66FF867C}">
                  <a14:compatExt spid="_x0000_s43020"/>
                </a:ext>
                <a:ext uri="{FF2B5EF4-FFF2-40B4-BE49-F238E27FC236}">
                  <a16:creationId xmlns:a16="http://schemas.microsoft.com/office/drawing/2014/main" id="{00000000-0008-0000-0400-00000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Rotação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175</xdr:row>
          <xdr:rowOff>76200</xdr:rowOff>
        </xdr:from>
        <xdr:to>
          <xdr:col>5</xdr:col>
          <xdr:colOff>579120</xdr:colOff>
          <xdr:row>177</xdr:row>
          <xdr:rowOff>45720</xdr:rowOff>
        </xdr:to>
        <xdr:sp macro="" textlink="">
          <xdr:nvSpPr>
            <xdr:cNvPr id="47117" name="Caixa de seleção 50" hidden="1">
              <a:extLst>
                <a:ext uri="{63B3BB69-23CF-44E3-9099-C40C66FF867C}">
                  <a14:compatExt spid="_x0000_s43021"/>
                </a:ext>
                <a:ext uri="{FF2B5EF4-FFF2-40B4-BE49-F238E27FC236}">
                  <a16:creationId xmlns:a16="http://schemas.microsoft.com/office/drawing/2014/main" id="{00000000-0008-0000-0400-00000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175</xdr:row>
          <xdr:rowOff>76200</xdr:rowOff>
        </xdr:from>
        <xdr:to>
          <xdr:col>7</xdr:col>
          <xdr:colOff>579120</xdr:colOff>
          <xdr:row>177</xdr:row>
          <xdr:rowOff>45720</xdr:rowOff>
        </xdr:to>
        <xdr:sp macro="" textlink="">
          <xdr:nvSpPr>
            <xdr:cNvPr id="47118" name="Caixa de seleção 51" hidden="1">
              <a:extLst>
                <a:ext uri="{63B3BB69-23CF-44E3-9099-C40C66FF867C}">
                  <a14:compatExt spid="_x0000_s43022"/>
                </a:ext>
                <a:ext uri="{FF2B5EF4-FFF2-40B4-BE49-F238E27FC236}">
                  <a16:creationId xmlns:a16="http://schemas.microsoft.com/office/drawing/2014/main" id="{00000000-0008-0000-0400-00000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175</xdr:row>
          <xdr:rowOff>76200</xdr:rowOff>
        </xdr:from>
        <xdr:to>
          <xdr:col>9</xdr:col>
          <xdr:colOff>579120</xdr:colOff>
          <xdr:row>177</xdr:row>
          <xdr:rowOff>45720</xdr:rowOff>
        </xdr:to>
        <xdr:sp macro="" textlink="">
          <xdr:nvSpPr>
            <xdr:cNvPr id="47119" name="Caixa de seleção 52" hidden="1">
              <a:extLst>
                <a:ext uri="{63B3BB69-23CF-44E3-9099-C40C66FF867C}">
                  <a14:compatExt spid="_x0000_s43023"/>
                </a:ext>
                <a:ext uri="{FF2B5EF4-FFF2-40B4-BE49-F238E27FC236}">
                  <a16:creationId xmlns:a16="http://schemas.microsoft.com/office/drawing/2014/main" id="{00000000-0008-0000-0400-00000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177</xdr:row>
          <xdr:rowOff>76200</xdr:rowOff>
        </xdr:from>
        <xdr:to>
          <xdr:col>5</xdr:col>
          <xdr:colOff>579120</xdr:colOff>
          <xdr:row>179</xdr:row>
          <xdr:rowOff>60960</xdr:rowOff>
        </xdr:to>
        <xdr:sp macro="" textlink="">
          <xdr:nvSpPr>
            <xdr:cNvPr id="47120" name="Caixa de seleção 53" hidden="1">
              <a:extLst>
                <a:ext uri="{63B3BB69-23CF-44E3-9099-C40C66FF867C}">
                  <a14:compatExt spid="_x0000_s43024"/>
                </a:ext>
                <a:ext uri="{FF2B5EF4-FFF2-40B4-BE49-F238E27FC236}">
                  <a16:creationId xmlns:a16="http://schemas.microsoft.com/office/drawing/2014/main" id="{00000000-0008-0000-0400-000010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Fisioóogica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177</xdr:row>
          <xdr:rowOff>76200</xdr:rowOff>
        </xdr:from>
        <xdr:to>
          <xdr:col>7</xdr:col>
          <xdr:colOff>579120</xdr:colOff>
          <xdr:row>179</xdr:row>
          <xdr:rowOff>60960</xdr:rowOff>
        </xdr:to>
        <xdr:sp macro="" textlink="">
          <xdr:nvSpPr>
            <xdr:cNvPr id="47121" name="Caixa de seleção 54" hidden="1">
              <a:extLst>
                <a:ext uri="{63B3BB69-23CF-44E3-9099-C40C66FF867C}">
                  <a14:compatExt spid="_x0000_s43025"/>
                </a:ext>
                <a:ext uri="{FF2B5EF4-FFF2-40B4-BE49-F238E27FC236}">
                  <a16:creationId xmlns:a16="http://schemas.microsoft.com/office/drawing/2014/main" id="{00000000-0008-0000-0400-00001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177</xdr:row>
          <xdr:rowOff>76200</xdr:rowOff>
        </xdr:from>
        <xdr:to>
          <xdr:col>9</xdr:col>
          <xdr:colOff>579120</xdr:colOff>
          <xdr:row>179</xdr:row>
          <xdr:rowOff>60960</xdr:rowOff>
        </xdr:to>
        <xdr:sp macro="" textlink="">
          <xdr:nvSpPr>
            <xdr:cNvPr id="47122" name="Caixa de seleção 55" hidden="1">
              <a:extLst>
                <a:ext uri="{63B3BB69-23CF-44E3-9099-C40C66FF867C}">
                  <a14:compatExt spid="_x0000_s43026"/>
                </a:ext>
                <a:ext uri="{FF2B5EF4-FFF2-40B4-BE49-F238E27FC236}">
                  <a16:creationId xmlns:a16="http://schemas.microsoft.com/office/drawing/2014/main" id="{00000000-0008-0000-0400-00001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179</xdr:row>
          <xdr:rowOff>76200</xdr:rowOff>
        </xdr:from>
        <xdr:to>
          <xdr:col>5</xdr:col>
          <xdr:colOff>579120</xdr:colOff>
          <xdr:row>181</xdr:row>
          <xdr:rowOff>22860</xdr:rowOff>
        </xdr:to>
        <xdr:sp macro="" textlink="">
          <xdr:nvSpPr>
            <xdr:cNvPr id="47123" name="Caixa de seleção 59" hidden="1">
              <a:extLst>
                <a:ext uri="{63B3BB69-23CF-44E3-9099-C40C66FF867C}">
                  <a14:compatExt spid="_x0000_s43027"/>
                </a:ext>
                <a:ext uri="{FF2B5EF4-FFF2-40B4-BE49-F238E27FC236}">
                  <a16:creationId xmlns:a16="http://schemas.microsoft.com/office/drawing/2014/main" id="{00000000-0008-0000-0400-00001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179</xdr:row>
          <xdr:rowOff>76200</xdr:rowOff>
        </xdr:from>
        <xdr:to>
          <xdr:col>7</xdr:col>
          <xdr:colOff>579120</xdr:colOff>
          <xdr:row>181</xdr:row>
          <xdr:rowOff>22860</xdr:rowOff>
        </xdr:to>
        <xdr:sp macro="" textlink="">
          <xdr:nvSpPr>
            <xdr:cNvPr id="47124" name="Caixa de seleção 60" hidden="1">
              <a:extLst>
                <a:ext uri="{63B3BB69-23CF-44E3-9099-C40C66FF867C}">
                  <a14:compatExt spid="_x0000_s43028"/>
                </a:ext>
                <a:ext uri="{FF2B5EF4-FFF2-40B4-BE49-F238E27FC236}">
                  <a16:creationId xmlns:a16="http://schemas.microsoft.com/office/drawing/2014/main" id="{00000000-0008-0000-0400-00001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Anteversão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179</xdr:row>
          <xdr:rowOff>76200</xdr:rowOff>
        </xdr:from>
        <xdr:to>
          <xdr:col>9</xdr:col>
          <xdr:colOff>579120</xdr:colOff>
          <xdr:row>181</xdr:row>
          <xdr:rowOff>22860</xdr:rowOff>
        </xdr:to>
        <xdr:sp macro="" textlink="">
          <xdr:nvSpPr>
            <xdr:cNvPr id="47125" name="Caixa de seleção 61" hidden="1">
              <a:extLst>
                <a:ext uri="{63B3BB69-23CF-44E3-9099-C40C66FF867C}">
                  <a14:compatExt spid="_x0000_s43029"/>
                </a:ext>
                <a:ext uri="{FF2B5EF4-FFF2-40B4-BE49-F238E27FC236}">
                  <a16:creationId xmlns:a16="http://schemas.microsoft.com/office/drawing/2014/main" id="{00000000-0008-0000-0400-00001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Retroversão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181</xdr:row>
          <xdr:rowOff>76200</xdr:rowOff>
        </xdr:from>
        <xdr:to>
          <xdr:col>5</xdr:col>
          <xdr:colOff>579120</xdr:colOff>
          <xdr:row>183</xdr:row>
          <xdr:rowOff>38100</xdr:rowOff>
        </xdr:to>
        <xdr:sp macro="" textlink="">
          <xdr:nvSpPr>
            <xdr:cNvPr id="47126" name="Caixa de seleção 62" hidden="1">
              <a:extLst>
                <a:ext uri="{63B3BB69-23CF-44E3-9099-C40C66FF867C}">
                  <a14:compatExt spid="_x0000_s43030"/>
                </a:ext>
                <a:ext uri="{FF2B5EF4-FFF2-40B4-BE49-F238E27FC236}">
                  <a16:creationId xmlns:a16="http://schemas.microsoft.com/office/drawing/2014/main" id="{00000000-0008-0000-0400-00001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181</xdr:row>
          <xdr:rowOff>76200</xdr:rowOff>
        </xdr:from>
        <xdr:to>
          <xdr:col>7</xdr:col>
          <xdr:colOff>579120</xdr:colOff>
          <xdr:row>183</xdr:row>
          <xdr:rowOff>38100</xdr:rowOff>
        </xdr:to>
        <xdr:sp macro="" textlink="">
          <xdr:nvSpPr>
            <xdr:cNvPr id="47127" name="Caixa de seleção 63" hidden="1">
              <a:extLst>
                <a:ext uri="{63B3BB69-23CF-44E3-9099-C40C66FF867C}">
                  <a14:compatExt spid="_x0000_s43031"/>
                </a:ext>
                <a:ext uri="{FF2B5EF4-FFF2-40B4-BE49-F238E27FC236}">
                  <a16:creationId xmlns:a16="http://schemas.microsoft.com/office/drawing/2014/main" id="{00000000-0008-0000-0400-00001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Recurvatum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181</xdr:row>
          <xdr:rowOff>76200</xdr:rowOff>
        </xdr:from>
        <xdr:to>
          <xdr:col>9</xdr:col>
          <xdr:colOff>579120</xdr:colOff>
          <xdr:row>183</xdr:row>
          <xdr:rowOff>38100</xdr:rowOff>
        </xdr:to>
        <xdr:sp macro="" textlink="">
          <xdr:nvSpPr>
            <xdr:cNvPr id="47128" name="Caixa de seleção 64" hidden="1">
              <a:extLst>
                <a:ext uri="{63B3BB69-23CF-44E3-9099-C40C66FF867C}">
                  <a14:compatExt spid="_x0000_s43032"/>
                </a:ext>
                <a:ext uri="{FF2B5EF4-FFF2-40B4-BE49-F238E27FC236}">
                  <a16:creationId xmlns:a16="http://schemas.microsoft.com/office/drawing/2014/main" id="{00000000-0008-0000-0400-00001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Flexo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173</xdr:row>
          <xdr:rowOff>68580</xdr:rowOff>
        </xdr:from>
        <xdr:to>
          <xdr:col>5</xdr:col>
          <xdr:colOff>579120</xdr:colOff>
          <xdr:row>175</xdr:row>
          <xdr:rowOff>45720</xdr:rowOff>
        </xdr:to>
        <xdr:sp macro="" textlink="">
          <xdr:nvSpPr>
            <xdr:cNvPr id="47129" name="Caixa de seleção 107" hidden="1">
              <a:extLst>
                <a:ext uri="{63B3BB69-23CF-44E3-9099-C40C66FF867C}">
                  <a14:compatExt spid="_x0000_s43033"/>
                </a:ext>
                <a:ext uri="{FF2B5EF4-FFF2-40B4-BE49-F238E27FC236}">
                  <a16:creationId xmlns:a16="http://schemas.microsoft.com/office/drawing/2014/main" id="{00000000-0008-0000-0400-00001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173</xdr:row>
          <xdr:rowOff>68580</xdr:rowOff>
        </xdr:from>
        <xdr:to>
          <xdr:col>7</xdr:col>
          <xdr:colOff>563880</xdr:colOff>
          <xdr:row>175</xdr:row>
          <xdr:rowOff>45720</xdr:rowOff>
        </xdr:to>
        <xdr:sp macro="" textlink="">
          <xdr:nvSpPr>
            <xdr:cNvPr id="47130" name="Caixa de seleção 108" hidden="1">
              <a:extLst>
                <a:ext uri="{63B3BB69-23CF-44E3-9099-C40C66FF867C}">
                  <a14:compatExt spid="_x0000_s43034"/>
                </a:ext>
                <a:ext uri="{FF2B5EF4-FFF2-40B4-BE49-F238E27FC236}">
                  <a16:creationId xmlns:a16="http://schemas.microsoft.com/office/drawing/2014/main" id="{00000000-0008-0000-0400-00001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183</xdr:row>
          <xdr:rowOff>76200</xdr:rowOff>
        </xdr:from>
        <xdr:to>
          <xdr:col>7</xdr:col>
          <xdr:colOff>594360</xdr:colOff>
          <xdr:row>185</xdr:row>
          <xdr:rowOff>60960</xdr:rowOff>
        </xdr:to>
        <xdr:sp macro="" textlink="">
          <xdr:nvSpPr>
            <xdr:cNvPr id="47131" name="Caixa de seleção 109" hidden="1">
              <a:extLst>
                <a:ext uri="{63B3BB69-23CF-44E3-9099-C40C66FF867C}">
                  <a14:compatExt spid="_x0000_s43035"/>
                </a:ext>
                <a:ext uri="{FF2B5EF4-FFF2-40B4-BE49-F238E27FC236}">
                  <a16:creationId xmlns:a16="http://schemas.microsoft.com/office/drawing/2014/main" id="{00000000-0008-0000-0400-00001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183</xdr:row>
          <xdr:rowOff>76200</xdr:rowOff>
        </xdr:from>
        <xdr:to>
          <xdr:col>5</xdr:col>
          <xdr:colOff>579120</xdr:colOff>
          <xdr:row>185</xdr:row>
          <xdr:rowOff>60960</xdr:rowOff>
        </xdr:to>
        <xdr:sp macro="" textlink="">
          <xdr:nvSpPr>
            <xdr:cNvPr id="47132" name="Caixa de seleção 110" hidden="1">
              <a:extLst>
                <a:ext uri="{63B3BB69-23CF-44E3-9099-C40C66FF867C}">
                  <a14:compatExt spid="_x0000_s43036"/>
                </a:ext>
                <a:ext uri="{FF2B5EF4-FFF2-40B4-BE49-F238E27FC236}">
                  <a16:creationId xmlns:a16="http://schemas.microsoft.com/office/drawing/2014/main" id="{00000000-0008-0000-0400-00001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183</xdr:row>
          <xdr:rowOff>76200</xdr:rowOff>
        </xdr:from>
        <xdr:to>
          <xdr:col>9</xdr:col>
          <xdr:colOff>579120</xdr:colOff>
          <xdr:row>185</xdr:row>
          <xdr:rowOff>45720</xdr:rowOff>
        </xdr:to>
        <xdr:sp macro="" textlink="">
          <xdr:nvSpPr>
            <xdr:cNvPr id="47133" name="Caixa de seleção 111" hidden="1">
              <a:extLst>
                <a:ext uri="{63B3BB69-23CF-44E3-9099-C40C66FF867C}">
                  <a14:compatExt spid="_x0000_s43037"/>
                </a:ext>
                <a:ext uri="{FF2B5EF4-FFF2-40B4-BE49-F238E27FC236}">
                  <a16:creationId xmlns:a16="http://schemas.microsoft.com/office/drawing/2014/main" id="{00000000-0008-0000-0400-00001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Calcâneo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184</xdr:row>
          <xdr:rowOff>182880</xdr:rowOff>
        </xdr:from>
        <xdr:to>
          <xdr:col>5</xdr:col>
          <xdr:colOff>571500</xdr:colOff>
          <xdr:row>186</xdr:row>
          <xdr:rowOff>60960</xdr:rowOff>
        </xdr:to>
        <xdr:sp macro="" textlink="">
          <xdr:nvSpPr>
            <xdr:cNvPr id="47134" name="Caixa de seleção 112" hidden="1">
              <a:extLst>
                <a:ext uri="{63B3BB69-23CF-44E3-9099-C40C66FF867C}">
                  <a14:compatExt spid="_x0000_s43038"/>
                </a:ext>
                <a:ext uri="{FF2B5EF4-FFF2-40B4-BE49-F238E27FC236}">
                  <a16:creationId xmlns:a16="http://schemas.microsoft.com/office/drawing/2014/main" id="{00000000-0008-0000-0400-00001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Equino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199</xdr:row>
          <xdr:rowOff>7620</xdr:rowOff>
        </xdr:from>
        <xdr:to>
          <xdr:col>3</xdr:col>
          <xdr:colOff>723900</xdr:colOff>
          <xdr:row>200</xdr:row>
          <xdr:rowOff>60960</xdr:rowOff>
        </xdr:to>
        <xdr:sp macro="" textlink="">
          <xdr:nvSpPr>
            <xdr:cNvPr id="47135" name="Caixa de seleção 46" hidden="1">
              <a:extLst>
                <a:ext uri="{63B3BB69-23CF-44E3-9099-C40C66FF867C}">
                  <a14:compatExt spid="_x0000_s43039"/>
                </a:ext>
                <a:ext uri="{FF2B5EF4-FFF2-40B4-BE49-F238E27FC236}">
                  <a16:creationId xmlns:a16="http://schemas.microsoft.com/office/drawing/2014/main" id="{00000000-0008-0000-0400-00001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Em "S"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190</xdr:row>
          <xdr:rowOff>7620</xdr:rowOff>
        </xdr:from>
        <xdr:to>
          <xdr:col>3</xdr:col>
          <xdr:colOff>708660</xdr:colOff>
          <xdr:row>191</xdr:row>
          <xdr:rowOff>60960</xdr:rowOff>
        </xdr:to>
        <xdr:sp macro="" textlink="">
          <xdr:nvSpPr>
            <xdr:cNvPr id="47136" name="Caixa de seleção 65" hidden="1">
              <a:extLst>
                <a:ext uri="{63B3BB69-23CF-44E3-9099-C40C66FF867C}">
                  <a14:compatExt spid="_x0000_s43040"/>
                </a:ext>
                <a:ext uri="{FF2B5EF4-FFF2-40B4-BE49-F238E27FC236}">
                  <a16:creationId xmlns:a16="http://schemas.microsoft.com/office/drawing/2014/main" id="{00000000-0008-0000-0400-000020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189</xdr:row>
          <xdr:rowOff>7620</xdr:rowOff>
        </xdr:from>
        <xdr:to>
          <xdr:col>5</xdr:col>
          <xdr:colOff>99060</xdr:colOff>
          <xdr:row>190</xdr:row>
          <xdr:rowOff>60960</xdr:rowOff>
        </xdr:to>
        <xdr:sp macro="" textlink="">
          <xdr:nvSpPr>
            <xdr:cNvPr id="47137" name="Caixa de seleção 66" hidden="1">
              <a:extLst>
                <a:ext uri="{63B3BB69-23CF-44E3-9099-C40C66FF867C}">
                  <a14:compatExt spid="_x0000_s43041"/>
                </a:ext>
                <a:ext uri="{FF2B5EF4-FFF2-40B4-BE49-F238E27FC236}">
                  <a16:creationId xmlns:a16="http://schemas.microsoft.com/office/drawing/2014/main" id="{00000000-0008-0000-0400-00002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189</xdr:row>
          <xdr:rowOff>7620</xdr:rowOff>
        </xdr:from>
        <xdr:to>
          <xdr:col>7</xdr:col>
          <xdr:colOff>259080</xdr:colOff>
          <xdr:row>190</xdr:row>
          <xdr:rowOff>60960</xdr:rowOff>
        </xdr:to>
        <xdr:sp macro="" textlink="">
          <xdr:nvSpPr>
            <xdr:cNvPr id="47138" name="Caixa de seleção 67" hidden="1">
              <a:extLst>
                <a:ext uri="{63B3BB69-23CF-44E3-9099-C40C66FF867C}">
                  <a14:compatExt spid="_x0000_s43042"/>
                </a:ext>
                <a:ext uri="{FF2B5EF4-FFF2-40B4-BE49-F238E27FC236}">
                  <a16:creationId xmlns:a16="http://schemas.microsoft.com/office/drawing/2014/main" id="{00000000-0008-0000-0400-00002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198</xdr:row>
          <xdr:rowOff>7620</xdr:rowOff>
        </xdr:from>
        <xdr:to>
          <xdr:col>5</xdr:col>
          <xdr:colOff>22860</xdr:colOff>
          <xdr:row>199</xdr:row>
          <xdr:rowOff>60960</xdr:rowOff>
        </xdr:to>
        <xdr:sp macro="" textlink="">
          <xdr:nvSpPr>
            <xdr:cNvPr id="47139" name="Caixa de seleção 69" hidden="1">
              <a:extLst>
                <a:ext uri="{63B3BB69-23CF-44E3-9099-C40C66FF867C}">
                  <a14:compatExt spid="_x0000_s43043"/>
                </a:ext>
                <a:ext uri="{FF2B5EF4-FFF2-40B4-BE49-F238E27FC236}">
                  <a16:creationId xmlns:a16="http://schemas.microsoft.com/office/drawing/2014/main" id="{00000000-0008-0000-0400-00002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198</xdr:row>
          <xdr:rowOff>7620</xdr:rowOff>
        </xdr:from>
        <xdr:to>
          <xdr:col>7</xdr:col>
          <xdr:colOff>83820</xdr:colOff>
          <xdr:row>199</xdr:row>
          <xdr:rowOff>60960</xdr:rowOff>
        </xdr:to>
        <xdr:sp macro="" textlink="">
          <xdr:nvSpPr>
            <xdr:cNvPr id="47140" name="Caixa de seleção 70" hidden="1">
              <a:extLst>
                <a:ext uri="{63B3BB69-23CF-44E3-9099-C40C66FF867C}">
                  <a14:compatExt spid="_x0000_s43044"/>
                </a:ext>
                <a:ext uri="{FF2B5EF4-FFF2-40B4-BE49-F238E27FC236}">
                  <a16:creationId xmlns:a16="http://schemas.microsoft.com/office/drawing/2014/main" id="{00000000-0008-0000-0400-00002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Torácica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195</xdr:row>
          <xdr:rowOff>7620</xdr:rowOff>
        </xdr:from>
        <xdr:to>
          <xdr:col>3</xdr:col>
          <xdr:colOff>708660</xdr:colOff>
          <xdr:row>196</xdr:row>
          <xdr:rowOff>60960</xdr:rowOff>
        </xdr:to>
        <xdr:sp macro="" textlink="">
          <xdr:nvSpPr>
            <xdr:cNvPr id="47141" name="Caixa de seleção 71" hidden="1">
              <a:extLst>
                <a:ext uri="{63B3BB69-23CF-44E3-9099-C40C66FF867C}">
                  <a14:compatExt spid="_x0000_s43045"/>
                </a:ext>
                <a:ext uri="{FF2B5EF4-FFF2-40B4-BE49-F238E27FC236}">
                  <a16:creationId xmlns:a16="http://schemas.microsoft.com/office/drawing/2014/main" id="{00000000-0008-0000-0400-00002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Abduzida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193</xdr:row>
          <xdr:rowOff>7620</xdr:rowOff>
        </xdr:from>
        <xdr:to>
          <xdr:col>4</xdr:col>
          <xdr:colOff>137160</xdr:colOff>
          <xdr:row>194</xdr:row>
          <xdr:rowOff>60960</xdr:rowOff>
        </xdr:to>
        <xdr:sp macro="" textlink="">
          <xdr:nvSpPr>
            <xdr:cNvPr id="47142" name="Caixa de seleção 72" hidden="1">
              <a:extLst>
                <a:ext uri="{63B3BB69-23CF-44E3-9099-C40C66FF867C}">
                  <a14:compatExt spid="_x0000_s43046"/>
                </a:ext>
                <a:ext uri="{FF2B5EF4-FFF2-40B4-BE49-F238E27FC236}">
                  <a16:creationId xmlns:a16="http://schemas.microsoft.com/office/drawing/2014/main" id="{00000000-0008-0000-0400-00002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193</xdr:row>
          <xdr:rowOff>7620</xdr:rowOff>
        </xdr:from>
        <xdr:to>
          <xdr:col>5</xdr:col>
          <xdr:colOff>708660</xdr:colOff>
          <xdr:row>194</xdr:row>
          <xdr:rowOff>60960</xdr:rowOff>
        </xdr:to>
        <xdr:sp macro="" textlink="">
          <xdr:nvSpPr>
            <xdr:cNvPr id="47143" name="Caixa de seleção 73" hidden="1">
              <a:extLst>
                <a:ext uri="{63B3BB69-23CF-44E3-9099-C40C66FF867C}">
                  <a14:compatExt spid="_x0000_s43047"/>
                </a:ext>
                <a:ext uri="{FF2B5EF4-FFF2-40B4-BE49-F238E27FC236}">
                  <a16:creationId xmlns:a16="http://schemas.microsoft.com/office/drawing/2014/main" id="{00000000-0008-0000-0400-00002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194</xdr:row>
          <xdr:rowOff>7620</xdr:rowOff>
        </xdr:from>
        <xdr:to>
          <xdr:col>3</xdr:col>
          <xdr:colOff>975360</xdr:colOff>
          <xdr:row>195</xdr:row>
          <xdr:rowOff>60960</xdr:rowOff>
        </xdr:to>
        <xdr:sp macro="" textlink="">
          <xdr:nvSpPr>
            <xdr:cNvPr id="47144" name="Caixa de seleção 77" hidden="1">
              <a:extLst>
                <a:ext uri="{63B3BB69-23CF-44E3-9099-C40C66FF867C}">
                  <a14:compatExt spid="_x0000_s43048"/>
                </a:ext>
                <a:ext uri="{FF2B5EF4-FFF2-40B4-BE49-F238E27FC236}">
                  <a16:creationId xmlns:a16="http://schemas.microsoft.com/office/drawing/2014/main" id="{00000000-0008-0000-0400-00002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Inferior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194</xdr:row>
          <xdr:rowOff>7620</xdr:rowOff>
        </xdr:from>
        <xdr:to>
          <xdr:col>6</xdr:col>
          <xdr:colOff>99060</xdr:colOff>
          <xdr:row>195</xdr:row>
          <xdr:rowOff>60960</xdr:rowOff>
        </xdr:to>
        <xdr:sp macro="" textlink="">
          <xdr:nvSpPr>
            <xdr:cNvPr id="47145" name="Caixa de seleção 78" hidden="1">
              <a:extLst>
                <a:ext uri="{63B3BB69-23CF-44E3-9099-C40C66FF867C}">
                  <a14:compatExt spid="_x0000_s43049"/>
                </a:ext>
                <a:ext uri="{FF2B5EF4-FFF2-40B4-BE49-F238E27FC236}">
                  <a16:creationId xmlns:a16="http://schemas.microsoft.com/office/drawing/2014/main" id="{00000000-0008-0000-0400-00002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Superior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211</xdr:row>
          <xdr:rowOff>0</xdr:rowOff>
        </xdr:from>
        <xdr:to>
          <xdr:col>3</xdr:col>
          <xdr:colOff>708660</xdr:colOff>
          <xdr:row>212</xdr:row>
          <xdr:rowOff>60960</xdr:rowOff>
        </xdr:to>
        <xdr:sp macro="" textlink="">
          <xdr:nvSpPr>
            <xdr:cNvPr id="47146" name="Caixa de seleção 80" hidden="1">
              <a:extLst>
                <a:ext uri="{63B3BB69-23CF-44E3-9099-C40C66FF867C}">
                  <a14:compatExt spid="_x0000_s43050"/>
                </a:ext>
                <a:ext uri="{FF2B5EF4-FFF2-40B4-BE49-F238E27FC236}">
                  <a16:creationId xmlns:a16="http://schemas.microsoft.com/office/drawing/2014/main" id="{00000000-0008-0000-0400-00002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211</xdr:row>
          <xdr:rowOff>0</xdr:rowOff>
        </xdr:from>
        <xdr:to>
          <xdr:col>5</xdr:col>
          <xdr:colOff>685800</xdr:colOff>
          <xdr:row>212</xdr:row>
          <xdr:rowOff>60960</xdr:rowOff>
        </xdr:to>
        <xdr:sp macro="" textlink="">
          <xdr:nvSpPr>
            <xdr:cNvPr id="47147" name="Caixa de seleção 81" hidden="1">
              <a:extLst>
                <a:ext uri="{63B3BB69-23CF-44E3-9099-C40C66FF867C}">
                  <a14:compatExt spid="_x0000_s43051"/>
                </a:ext>
                <a:ext uri="{FF2B5EF4-FFF2-40B4-BE49-F238E27FC236}">
                  <a16:creationId xmlns:a16="http://schemas.microsoft.com/office/drawing/2014/main" id="{00000000-0008-0000-0400-00002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208</xdr:row>
          <xdr:rowOff>7620</xdr:rowOff>
        </xdr:from>
        <xdr:to>
          <xdr:col>3</xdr:col>
          <xdr:colOff>708660</xdr:colOff>
          <xdr:row>209</xdr:row>
          <xdr:rowOff>60960</xdr:rowOff>
        </xdr:to>
        <xdr:sp macro="" textlink="">
          <xdr:nvSpPr>
            <xdr:cNvPr id="47148" name="Caixa de seleção 83" hidden="1">
              <a:extLst>
                <a:ext uri="{63B3BB69-23CF-44E3-9099-C40C66FF867C}">
                  <a14:compatExt spid="_x0000_s43052"/>
                </a:ext>
                <a:ext uri="{FF2B5EF4-FFF2-40B4-BE49-F238E27FC236}">
                  <a16:creationId xmlns:a16="http://schemas.microsoft.com/office/drawing/2014/main" id="{00000000-0008-0000-0400-00002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208</xdr:row>
          <xdr:rowOff>7620</xdr:rowOff>
        </xdr:from>
        <xdr:to>
          <xdr:col>5</xdr:col>
          <xdr:colOff>685800</xdr:colOff>
          <xdr:row>209</xdr:row>
          <xdr:rowOff>60960</xdr:rowOff>
        </xdr:to>
        <xdr:sp macro="" textlink="">
          <xdr:nvSpPr>
            <xdr:cNvPr id="47149" name="Caixa de seleção 84" hidden="1">
              <a:extLst>
                <a:ext uri="{63B3BB69-23CF-44E3-9099-C40C66FF867C}">
                  <a14:compatExt spid="_x0000_s43053"/>
                </a:ext>
                <a:ext uri="{FF2B5EF4-FFF2-40B4-BE49-F238E27FC236}">
                  <a16:creationId xmlns:a16="http://schemas.microsoft.com/office/drawing/2014/main" id="{00000000-0008-0000-0400-00002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838200</xdr:colOff>
          <xdr:row>208</xdr:row>
          <xdr:rowOff>15240</xdr:rowOff>
        </xdr:from>
        <xdr:to>
          <xdr:col>7</xdr:col>
          <xdr:colOff>403860</xdr:colOff>
          <xdr:row>209</xdr:row>
          <xdr:rowOff>68580</xdr:rowOff>
        </xdr:to>
        <xdr:sp macro="" textlink="">
          <xdr:nvSpPr>
            <xdr:cNvPr id="47150" name="Caixa de seleção 85" hidden="1">
              <a:extLst>
                <a:ext uri="{63B3BB69-23CF-44E3-9099-C40C66FF867C}">
                  <a14:compatExt spid="_x0000_s43054"/>
                </a:ext>
                <a:ext uri="{FF2B5EF4-FFF2-40B4-BE49-F238E27FC236}">
                  <a16:creationId xmlns:a16="http://schemas.microsoft.com/office/drawing/2014/main" id="{00000000-0008-0000-0400-00002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189</xdr:row>
          <xdr:rowOff>7620</xdr:rowOff>
        </xdr:from>
        <xdr:to>
          <xdr:col>9</xdr:col>
          <xdr:colOff>708660</xdr:colOff>
          <xdr:row>190</xdr:row>
          <xdr:rowOff>60960</xdr:rowOff>
        </xdr:to>
        <xdr:sp macro="" textlink="">
          <xdr:nvSpPr>
            <xdr:cNvPr id="47151" name="Caixa de seleção 86" hidden="1">
              <a:extLst>
                <a:ext uri="{63B3BB69-23CF-44E3-9099-C40C66FF867C}">
                  <a14:compatExt spid="_x0000_s43055"/>
                </a:ext>
                <a:ext uri="{FF2B5EF4-FFF2-40B4-BE49-F238E27FC236}">
                  <a16:creationId xmlns:a16="http://schemas.microsoft.com/office/drawing/2014/main" id="{00000000-0008-0000-0400-00002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189</xdr:row>
          <xdr:rowOff>7620</xdr:rowOff>
        </xdr:from>
        <xdr:to>
          <xdr:col>11</xdr:col>
          <xdr:colOff>670560</xdr:colOff>
          <xdr:row>190</xdr:row>
          <xdr:rowOff>60960</xdr:rowOff>
        </xdr:to>
        <xdr:sp macro="" textlink="">
          <xdr:nvSpPr>
            <xdr:cNvPr id="47152" name="Caixa de seleção 87" hidden="1">
              <a:extLst>
                <a:ext uri="{63B3BB69-23CF-44E3-9099-C40C66FF867C}">
                  <a14:compatExt spid="_x0000_s43056"/>
                </a:ext>
                <a:ext uri="{FF2B5EF4-FFF2-40B4-BE49-F238E27FC236}">
                  <a16:creationId xmlns:a16="http://schemas.microsoft.com/office/drawing/2014/main" id="{00000000-0008-0000-0400-000030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198</xdr:row>
          <xdr:rowOff>167640</xdr:rowOff>
        </xdr:from>
        <xdr:to>
          <xdr:col>9</xdr:col>
          <xdr:colOff>693420</xdr:colOff>
          <xdr:row>200</xdr:row>
          <xdr:rowOff>60960</xdr:rowOff>
        </xdr:to>
        <xdr:sp macro="" textlink="">
          <xdr:nvSpPr>
            <xdr:cNvPr id="47153" name="Caixa de seleção 92" hidden="1">
              <a:extLst>
                <a:ext uri="{63B3BB69-23CF-44E3-9099-C40C66FF867C}">
                  <a14:compatExt spid="_x0000_s43057"/>
                </a:ext>
                <a:ext uri="{FF2B5EF4-FFF2-40B4-BE49-F238E27FC236}">
                  <a16:creationId xmlns:a16="http://schemas.microsoft.com/office/drawing/2014/main" id="{00000000-0008-0000-0400-00003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197</xdr:row>
          <xdr:rowOff>175260</xdr:rowOff>
        </xdr:from>
        <xdr:to>
          <xdr:col>9</xdr:col>
          <xdr:colOff>708660</xdr:colOff>
          <xdr:row>199</xdr:row>
          <xdr:rowOff>68580</xdr:rowOff>
        </xdr:to>
        <xdr:sp macro="" textlink="">
          <xdr:nvSpPr>
            <xdr:cNvPr id="47154" name="Caixa de seleção 93" hidden="1">
              <a:extLst>
                <a:ext uri="{63B3BB69-23CF-44E3-9099-C40C66FF867C}">
                  <a14:compatExt spid="_x0000_s43058"/>
                </a:ext>
                <a:ext uri="{FF2B5EF4-FFF2-40B4-BE49-F238E27FC236}">
                  <a16:creationId xmlns:a16="http://schemas.microsoft.com/office/drawing/2014/main" id="{00000000-0008-0000-0400-00003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197</xdr:row>
          <xdr:rowOff>175260</xdr:rowOff>
        </xdr:from>
        <xdr:to>
          <xdr:col>11</xdr:col>
          <xdr:colOff>693420</xdr:colOff>
          <xdr:row>199</xdr:row>
          <xdr:rowOff>68580</xdr:rowOff>
        </xdr:to>
        <xdr:sp macro="" textlink="">
          <xdr:nvSpPr>
            <xdr:cNvPr id="47155" name="Caixa de seleção 94" hidden="1">
              <a:extLst>
                <a:ext uri="{63B3BB69-23CF-44E3-9099-C40C66FF867C}">
                  <a14:compatExt spid="_x0000_s43059"/>
                </a:ext>
                <a:ext uri="{FF2B5EF4-FFF2-40B4-BE49-F238E27FC236}">
                  <a16:creationId xmlns:a16="http://schemas.microsoft.com/office/drawing/2014/main" id="{00000000-0008-0000-0400-00003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204</xdr:row>
          <xdr:rowOff>175260</xdr:rowOff>
        </xdr:from>
        <xdr:to>
          <xdr:col>9</xdr:col>
          <xdr:colOff>693420</xdr:colOff>
          <xdr:row>206</xdr:row>
          <xdr:rowOff>68580</xdr:rowOff>
        </xdr:to>
        <xdr:sp macro="" textlink="">
          <xdr:nvSpPr>
            <xdr:cNvPr id="47156" name="Caixa de seleção 95" hidden="1">
              <a:extLst>
                <a:ext uri="{63B3BB69-23CF-44E3-9099-C40C66FF867C}">
                  <a14:compatExt spid="_x0000_s43060"/>
                </a:ext>
                <a:ext uri="{FF2B5EF4-FFF2-40B4-BE49-F238E27FC236}">
                  <a16:creationId xmlns:a16="http://schemas.microsoft.com/office/drawing/2014/main" id="{00000000-0008-0000-0400-00003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203</xdr:row>
          <xdr:rowOff>175260</xdr:rowOff>
        </xdr:from>
        <xdr:to>
          <xdr:col>9</xdr:col>
          <xdr:colOff>708660</xdr:colOff>
          <xdr:row>205</xdr:row>
          <xdr:rowOff>68580</xdr:rowOff>
        </xdr:to>
        <xdr:sp macro="" textlink="">
          <xdr:nvSpPr>
            <xdr:cNvPr id="47157" name="Caixa de seleção 96" hidden="1">
              <a:extLst>
                <a:ext uri="{63B3BB69-23CF-44E3-9099-C40C66FF867C}">
                  <a14:compatExt spid="_x0000_s43061"/>
                </a:ext>
                <a:ext uri="{FF2B5EF4-FFF2-40B4-BE49-F238E27FC236}">
                  <a16:creationId xmlns:a16="http://schemas.microsoft.com/office/drawing/2014/main" id="{00000000-0008-0000-0400-00003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Lateralizada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203</xdr:row>
          <xdr:rowOff>175260</xdr:rowOff>
        </xdr:from>
        <xdr:to>
          <xdr:col>11</xdr:col>
          <xdr:colOff>693420</xdr:colOff>
          <xdr:row>205</xdr:row>
          <xdr:rowOff>68580</xdr:rowOff>
        </xdr:to>
        <xdr:sp macro="" textlink="">
          <xdr:nvSpPr>
            <xdr:cNvPr id="47158" name="Caixa de seleção 97" hidden="1">
              <a:extLst>
                <a:ext uri="{63B3BB69-23CF-44E3-9099-C40C66FF867C}">
                  <a14:compatExt spid="_x0000_s43062"/>
                </a:ext>
                <a:ext uri="{FF2B5EF4-FFF2-40B4-BE49-F238E27FC236}">
                  <a16:creationId xmlns:a16="http://schemas.microsoft.com/office/drawing/2014/main" id="{00000000-0008-0000-0400-00003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Medializada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193</xdr:row>
          <xdr:rowOff>175260</xdr:rowOff>
        </xdr:from>
        <xdr:to>
          <xdr:col>9</xdr:col>
          <xdr:colOff>693420</xdr:colOff>
          <xdr:row>195</xdr:row>
          <xdr:rowOff>68580</xdr:rowOff>
        </xdr:to>
        <xdr:sp macro="" textlink="">
          <xdr:nvSpPr>
            <xdr:cNvPr id="47159" name="Caixa de seleção 98" hidden="1">
              <a:extLst>
                <a:ext uri="{63B3BB69-23CF-44E3-9099-C40C66FF867C}">
                  <a14:compatExt spid="_x0000_s43063"/>
                </a:ext>
                <a:ext uri="{FF2B5EF4-FFF2-40B4-BE49-F238E27FC236}">
                  <a16:creationId xmlns:a16="http://schemas.microsoft.com/office/drawing/2014/main" id="{00000000-0008-0000-0400-00003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204</xdr:row>
          <xdr:rowOff>175260</xdr:rowOff>
        </xdr:from>
        <xdr:to>
          <xdr:col>3</xdr:col>
          <xdr:colOff>693420</xdr:colOff>
          <xdr:row>206</xdr:row>
          <xdr:rowOff>68580</xdr:rowOff>
        </xdr:to>
        <xdr:sp macro="" textlink="">
          <xdr:nvSpPr>
            <xdr:cNvPr id="47160" name="Caixa de seleção 104" hidden="1">
              <a:extLst>
                <a:ext uri="{63B3BB69-23CF-44E3-9099-C40C66FF867C}">
                  <a14:compatExt spid="_x0000_s43064"/>
                </a:ext>
                <a:ext uri="{FF2B5EF4-FFF2-40B4-BE49-F238E27FC236}">
                  <a16:creationId xmlns:a16="http://schemas.microsoft.com/office/drawing/2014/main" id="{00000000-0008-0000-0400-00003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129540</xdr:colOff>
          <xdr:row>203</xdr:row>
          <xdr:rowOff>175260</xdr:rowOff>
        </xdr:from>
        <xdr:to>
          <xdr:col>7</xdr:col>
          <xdr:colOff>7620</xdr:colOff>
          <xdr:row>205</xdr:row>
          <xdr:rowOff>68580</xdr:rowOff>
        </xdr:to>
        <xdr:sp macro="" textlink="">
          <xdr:nvSpPr>
            <xdr:cNvPr id="47161" name="Caixa de seleção 105" hidden="1">
              <a:extLst>
                <a:ext uri="{63B3BB69-23CF-44E3-9099-C40C66FF867C}">
                  <a14:compatExt spid="_x0000_s43065"/>
                </a:ext>
                <a:ext uri="{FF2B5EF4-FFF2-40B4-BE49-F238E27FC236}">
                  <a16:creationId xmlns:a16="http://schemas.microsoft.com/office/drawing/2014/main" id="{00000000-0008-0000-0400-00003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203</xdr:row>
          <xdr:rowOff>175260</xdr:rowOff>
        </xdr:from>
        <xdr:to>
          <xdr:col>4</xdr:col>
          <xdr:colOff>144780</xdr:colOff>
          <xdr:row>205</xdr:row>
          <xdr:rowOff>68580</xdr:rowOff>
        </xdr:to>
        <xdr:sp macro="" textlink="">
          <xdr:nvSpPr>
            <xdr:cNvPr id="47162" name="Caixa de seleção 106" hidden="1">
              <a:extLst>
                <a:ext uri="{63B3BB69-23CF-44E3-9099-C40C66FF867C}">
                  <a14:compatExt spid="_x0000_s43066"/>
                </a:ext>
                <a:ext uri="{FF2B5EF4-FFF2-40B4-BE49-F238E27FC236}">
                  <a16:creationId xmlns:a16="http://schemas.microsoft.com/office/drawing/2014/main" id="{00000000-0008-0000-0400-00003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237320</xdr:colOff>
      <xdr:row>0</xdr:row>
      <xdr:rowOff>12213</xdr:rowOff>
    </xdr:from>
    <xdr:to>
      <xdr:col>16</xdr:col>
      <xdr:colOff>0</xdr:colOff>
      <xdr:row>5</xdr:row>
      <xdr:rowOff>79323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58800" y="12213"/>
          <a:ext cx="3572680" cy="1019610"/>
        </a:xfrm>
        <a:prstGeom prst="rect">
          <a:avLst/>
        </a:prstGeom>
      </xdr:spPr>
    </xdr:pic>
    <xdr:clientData/>
  </xdr:twoCellAnchor>
  <xdr:twoCellAnchor>
    <xdr:from>
      <xdr:col>86</xdr:col>
      <xdr:colOff>47625</xdr:colOff>
      <xdr:row>32</xdr:row>
      <xdr:rowOff>47625</xdr:rowOff>
    </xdr:from>
    <xdr:to>
      <xdr:col>88</xdr:col>
      <xdr:colOff>104775</xdr:colOff>
      <xdr:row>34</xdr:row>
      <xdr:rowOff>152399</xdr:rowOff>
    </xdr:to>
    <xdr:sp macro="" textlink="">
      <xdr:nvSpPr>
        <xdr:cNvPr id="92" name="Fluxograma: Processo alternativ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/>
      </xdr:nvSpPr>
      <xdr:spPr>
        <a:xfrm>
          <a:off x="8138160" y="566356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xdr:twoCellAnchor>
    <xdr:from>
      <xdr:col>126</xdr:col>
      <xdr:colOff>152400</xdr:colOff>
      <xdr:row>11</xdr:row>
      <xdr:rowOff>185736</xdr:rowOff>
    </xdr:from>
    <xdr:to>
      <xdr:col>133</xdr:col>
      <xdr:colOff>962025</xdr:colOff>
      <xdr:row>24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142</xdr:col>
      <xdr:colOff>390524</xdr:colOff>
      <xdr:row>19</xdr:row>
      <xdr:rowOff>109537</xdr:rowOff>
    </xdr:from>
    <xdr:to>
      <xdr:col>150</xdr:col>
      <xdr:colOff>28575</xdr:colOff>
      <xdr:row>41</xdr:row>
      <xdr:rowOff>76200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132</xdr:col>
      <xdr:colOff>57150</xdr:colOff>
      <xdr:row>29</xdr:row>
      <xdr:rowOff>47625</xdr:rowOff>
    </xdr:from>
    <xdr:to>
      <xdr:col>134</xdr:col>
      <xdr:colOff>114300</xdr:colOff>
      <xdr:row>31</xdr:row>
      <xdr:rowOff>152399</xdr:rowOff>
    </xdr:to>
    <xdr:sp macro="" textlink="">
      <xdr:nvSpPr>
        <xdr:cNvPr id="95" name="Fluxograma: Processo alternativ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/>
      </xdr:nvSpPr>
      <xdr:spPr>
        <a:xfrm>
          <a:off x="8138160" y="511492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47</xdr:row>
          <xdr:rowOff>175260</xdr:rowOff>
        </xdr:from>
        <xdr:to>
          <xdr:col>13</xdr:col>
          <xdr:colOff>495300</xdr:colOff>
          <xdr:row>49</xdr:row>
          <xdr:rowOff>0</xdr:rowOff>
        </xdr:to>
        <xdr:sp macro="" textlink="">
          <xdr:nvSpPr>
            <xdr:cNvPr id="47163" name="Check Box 59" hidden="1">
              <a:extLst>
                <a:ext uri="{63B3BB69-23CF-44E3-9099-C40C66FF867C}">
                  <a14:compatExt spid="_x0000_s43067"/>
                </a:ext>
                <a:ext uri="{FF2B5EF4-FFF2-40B4-BE49-F238E27FC236}">
                  <a16:creationId xmlns:a16="http://schemas.microsoft.com/office/drawing/2014/main" id="{00000000-0008-0000-0400-00003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47</xdr:row>
          <xdr:rowOff>175260</xdr:rowOff>
        </xdr:from>
        <xdr:to>
          <xdr:col>14</xdr:col>
          <xdr:colOff>0</xdr:colOff>
          <xdr:row>49</xdr:row>
          <xdr:rowOff>38100</xdr:rowOff>
        </xdr:to>
        <xdr:sp macro="" textlink="">
          <xdr:nvSpPr>
            <xdr:cNvPr id="47164" name="Check Box 60" hidden="1">
              <a:extLst>
                <a:ext uri="{63B3BB69-23CF-44E3-9099-C40C66FF867C}">
                  <a14:compatExt spid="_x0000_s43068"/>
                </a:ext>
                <a:ext uri="{FF2B5EF4-FFF2-40B4-BE49-F238E27FC236}">
                  <a16:creationId xmlns:a16="http://schemas.microsoft.com/office/drawing/2014/main" id="{00000000-0008-0000-0400-00003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53340</xdr:rowOff>
        </xdr:from>
        <xdr:to>
          <xdr:col>13</xdr:col>
          <xdr:colOff>495300</xdr:colOff>
          <xdr:row>52</xdr:row>
          <xdr:rowOff>38100</xdr:rowOff>
        </xdr:to>
        <xdr:sp macro="" textlink="">
          <xdr:nvSpPr>
            <xdr:cNvPr id="47165" name="Check Box 61" hidden="1">
              <a:extLst>
                <a:ext uri="{63B3BB69-23CF-44E3-9099-C40C66FF867C}">
                  <a14:compatExt spid="_x0000_s43069"/>
                </a:ext>
                <a:ext uri="{FF2B5EF4-FFF2-40B4-BE49-F238E27FC236}">
                  <a16:creationId xmlns:a16="http://schemas.microsoft.com/office/drawing/2014/main" id="{00000000-0008-0000-0400-00003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50</xdr:row>
          <xdr:rowOff>53340</xdr:rowOff>
        </xdr:from>
        <xdr:to>
          <xdr:col>14</xdr:col>
          <xdr:colOff>0</xdr:colOff>
          <xdr:row>52</xdr:row>
          <xdr:rowOff>38100</xdr:rowOff>
        </xdr:to>
        <xdr:sp macro="" textlink="">
          <xdr:nvSpPr>
            <xdr:cNvPr id="47166" name="Check Box 62" hidden="1">
              <a:extLst>
                <a:ext uri="{63B3BB69-23CF-44E3-9099-C40C66FF867C}">
                  <a14:compatExt spid="_x0000_s43070"/>
                </a:ext>
                <a:ext uri="{FF2B5EF4-FFF2-40B4-BE49-F238E27FC236}">
                  <a16:creationId xmlns:a16="http://schemas.microsoft.com/office/drawing/2014/main" id="{00000000-0008-0000-0400-00003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45720</xdr:rowOff>
        </xdr:from>
        <xdr:to>
          <xdr:col>13</xdr:col>
          <xdr:colOff>495300</xdr:colOff>
          <xdr:row>54</xdr:row>
          <xdr:rowOff>38100</xdr:rowOff>
        </xdr:to>
        <xdr:sp macro="" textlink="">
          <xdr:nvSpPr>
            <xdr:cNvPr id="47167" name="Check Box 63" hidden="1">
              <a:extLst>
                <a:ext uri="{63B3BB69-23CF-44E3-9099-C40C66FF867C}">
                  <a14:compatExt spid="_x0000_s43071"/>
                </a:ext>
                <a:ext uri="{FF2B5EF4-FFF2-40B4-BE49-F238E27FC236}">
                  <a16:creationId xmlns:a16="http://schemas.microsoft.com/office/drawing/2014/main" id="{00000000-0008-0000-0400-00003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52</xdr:row>
          <xdr:rowOff>45720</xdr:rowOff>
        </xdr:from>
        <xdr:to>
          <xdr:col>14</xdr:col>
          <xdr:colOff>0</xdr:colOff>
          <xdr:row>54</xdr:row>
          <xdr:rowOff>38100</xdr:rowOff>
        </xdr:to>
        <xdr:sp macro="" textlink="">
          <xdr:nvSpPr>
            <xdr:cNvPr id="47168" name="Check Box 64" hidden="1">
              <a:extLst>
                <a:ext uri="{63B3BB69-23CF-44E3-9099-C40C66FF867C}">
                  <a14:compatExt spid="_x0000_s43072"/>
                </a:ext>
                <a:ext uri="{FF2B5EF4-FFF2-40B4-BE49-F238E27FC236}">
                  <a16:creationId xmlns:a16="http://schemas.microsoft.com/office/drawing/2014/main" id="{00000000-0008-0000-0400-000040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54</xdr:row>
          <xdr:rowOff>53340</xdr:rowOff>
        </xdr:from>
        <xdr:to>
          <xdr:col>13</xdr:col>
          <xdr:colOff>495300</xdr:colOff>
          <xdr:row>56</xdr:row>
          <xdr:rowOff>0</xdr:rowOff>
        </xdr:to>
        <xdr:sp macro="" textlink="">
          <xdr:nvSpPr>
            <xdr:cNvPr id="47169" name="Check Box 65" hidden="1">
              <a:extLst>
                <a:ext uri="{63B3BB69-23CF-44E3-9099-C40C66FF867C}">
                  <a14:compatExt spid="_x0000_s43073"/>
                </a:ext>
                <a:ext uri="{FF2B5EF4-FFF2-40B4-BE49-F238E27FC236}">
                  <a16:creationId xmlns:a16="http://schemas.microsoft.com/office/drawing/2014/main" id="{00000000-0008-0000-0400-00004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54</xdr:row>
          <xdr:rowOff>53340</xdr:rowOff>
        </xdr:from>
        <xdr:to>
          <xdr:col>14</xdr:col>
          <xdr:colOff>0</xdr:colOff>
          <xdr:row>56</xdr:row>
          <xdr:rowOff>38100</xdr:rowOff>
        </xdr:to>
        <xdr:sp macro="" textlink="">
          <xdr:nvSpPr>
            <xdr:cNvPr id="47170" name="Check Box 66" hidden="1">
              <a:extLst>
                <a:ext uri="{63B3BB69-23CF-44E3-9099-C40C66FF867C}">
                  <a14:compatExt spid="_x0000_s43074"/>
                </a:ext>
                <a:ext uri="{FF2B5EF4-FFF2-40B4-BE49-F238E27FC236}">
                  <a16:creationId xmlns:a16="http://schemas.microsoft.com/office/drawing/2014/main" id="{00000000-0008-0000-0400-00004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56</xdr:row>
          <xdr:rowOff>53340</xdr:rowOff>
        </xdr:from>
        <xdr:to>
          <xdr:col>13</xdr:col>
          <xdr:colOff>495300</xdr:colOff>
          <xdr:row>58</xdr:row>
          <xdr:rowOff>38100</xdr:rowOff>
        </xdr:to>
        <xdr:sp macro="" textlink="">
          <xdr:nvSpPr>
            <xdr:cNvPr id="47171" name="Check Box 67" hidden="1">
              <a:extLst>
                <a:ext uri="{63B3BB69-23CF-44E3-9099-C40C66FF867C}">
                  <a14:compatExt spid="_x0000_s43075"/>
                </a:ext>
                <a:ext uri="{FF2B5EF4-FFF2-40B4-BE49-F238E27FC236}">
                  <a16:creationId xmlns:a16="http://schemas.microsoft.com/office/drawing/2014/main" id="{00000000-0008-0000-0400-00004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56</xdr:row>
          <xdr:rowOff>53340</xdr:rowOff>
        </xdr:from>
        <xdr:to>
          <xdr:col>14</xdr:col>
          <xdr:colOff>0</xdr:colOff>
          <xdr:row>58</xdr:row>
          <xdr:rowOff>38100</xdr:rowOff>
        </xdr:to>
        <xdr:sp macro="" textlink="">
          <xdr:nvSpPr>
            <xdr:cNvPr id="47172" name="Check Box 68" hidden="1">
              <a:extLst>
                <a:ext uri="{63B3BB69-23CF-44E3-9099-C40C66FF867C}">
                  <a14:compatExt spid="_x0000_s43076"/>
                </a:ext>
                <a:ext uri="{FF2B5EF4-FFF2-40B4-BE49-F238E27FC236}">
                  <a16:creationId xmlns:a16="http://schemas.microsoft.com/office/drawing/2014/main" id="{00000000-0008-0000-0400-00004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59</xdr:row>
          <xdr:rowOff>53340</xdr:rowOff>
        </xdr:from>
        <xdr:to>
          <xdr:col>13</xdr:col>
          <xdr:colOff>495300</xdr:colOff>
          <xdr:row>61</xdr:row>
          <xdr:rowOff>0</xdr:rowOff>
        </xdr:to>
        <xdr:sp macro="" textlink="">
          <xdr:nvSpPr>
            <xdr:cNvPr id="47173" name="Check Box 69" hidden="1">
              <a:extLst>
                <a:ext uri="{63B3BB69-23CF-44E3-9099-C40C66FF867C}">
                  <a14:compatExt spid="_x0000_s43077"/>
                </a:ext>
                <a:ext uri="{FF2B5EF4-FFF2-40B4-BE49-F238E27FC236}">
                  <a16:creationId xmlns:a16="http://schemas.microsoft.com/office/drawing/2014/main" id="{00000000-0008-0000-0400-00004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59</xdr:row>
          <xdr:rowOff>53340</xdr:rowOff>
        </xdr:from>
        <xdr:to>
          <xdr:col>14</xdr:col>
          <xdr:colOff>0</xdr:colOff>
          <xdr:row>61</xdr:row>
          <xdr:rowOff>38100</xdr:rowOff>
        </xdr:to>
        <xdr:sp macro="" textlink="">
          <xdr:nvSpPr>
            <xdr:cNvPr id="47174" name="Check Box 70" hidden="1">
              <a:extLst>
                <a:ext uri="{63B3BB69-23CF-44E3-9099-C40C66FF867C}">
                  <a14:compatExt spid="_x0000_s43078"/>
                </a:ext>
                <a:ext uri="{FF2B5EF4-FFF2-40B4-BE49-F238E27FC236}">
                  <a16:creationId xmlns:a16="http://schemas.microsoft.com/office/drawing/2014/main" id="{00000000-0008-0000-0400-00004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62</xdr:row>
          <xdr:rowOff>53340</xdr:rowOff>
        </xdr:from>
        <xdr:to>
          <xdr:col>13</xdr:col>
          <xdr:colOff>495300</xdr:colOff>
          <xdr:row>64</xdr:row>
          <xdr:rowOff>38100</xdr:rowOff>
        </xdr:to>
        <xdr:sp macro="" textlink="">
          <xdr:nvSpPr>
            <xdr:cNvPr id="47175" name="Check Box 71" hidden="1">
              <a:extLst>
                <a:ext uri="{63B3BB69-23CF-44E3-9099-C40C66FF867C}">
                  <a14:compatExt spid="_x0000_s43079"/>
                </a:ext>
                <a:ext uri="{FF2B5EF4-FFF2-40B4-BE49-F238E27FC236}">
                  <a16:creationId xmlns:a16="http://schemas.microsoft.com/office/drawing/2014/main" id="{00000000-0008-0000-0400-00004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62</xdr:row>
          <xdr:rowOff>53340</xdr:rowOff>
        </xdr:from>
        <xdr:to>
          <xdr:col>14</xdr:col>
          <xdr:colOff>0</xdr:colOff>
          <xdr:row>64</xdr:row>
          <xdr:rowOff>38100</xdr:rowOff>
        </xdr:to>
        <xdr:sp macro="" textlink="">
          <xdr:nvSpPr>
            <xdr:cNvPr id="47176" name="Check Box 72" hidden="1">
              <a:extLst>
                <a:ext uri="{63B3BB69-23CF-44E3-9099-C40C66FF867C}">
                  <a14:compatExt spid="_x0000_s43080"/>
                </a:ext>
                <a:ext uri="{FF2B5EF4-FFF2-40B4-BE49-F238E27FC236}">
                  <a16:creationId xmlns:a16="http://schemas.microsoft.com/office/drawing/2014/main" id="{00000000-0008-0000-0400-00004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938348</xdr:colOff>
      <xdr:row>102</xdr:row>
      <xdr:rowOff>22859</xdr:rowOff>
    </xdr:from>
    <xdr:to>
      <xdr:col>16</xdr:col>
      <xdr:colOff>76195</xdr:colOff>
      <xdr:row>114</xdr:row>
      <xdr:rowOff>34013</xdr:rowOff>
    </xdr:to>
    <xdr:grpSp>
      <xdr:nvGrpSpPr>
        <xdr:cNvPr id="110" name="Agrupar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pSpPr/>
      </xdr:nvGrpSpPr>
      <xdr:grpSpPr>
        <a:xfrm>
          <a:off x="5157923" y="17491709"/>
          <a:ext cx="2957372" cy="2182854"/>
          <a:chOff x="5249487" y="17791734"/>
          <a:chExt cx="3245645" cy="2365535"/>
        </a:xfrm>
      </xdr:grpSpPr>
      <xdr:grpSp>
        <xdr:nvGrpSpPr>
          <xdr:cNvPr id="111" name="Grupo 1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GrpSpPr/>
        </xdr:nvGrpSpPr>
        <xdr:grpSpPr>
          <a:xfrm>
            <a:off x="5358607" y="17791734"/>
            <a:ext cx="3136525" cy="2365535"/>
            <a:chOff x="12007892" y="28838754"/>
            <a:chExt cx="3028012" cy="2412519"/>
          </a:xfrm>
        </xdr:grpSpPr>
        <xdr:pic>
          <xdr:nvPicPr>
            <xdr:cNvPr id="116" name="Imagem 2" descr="ist2_426832_human_anatomy_male_muscles.jpg">
              <a:extLst>
                <a:ext uri="{FF2B5EF4-FFF2-40B4-BE49-F238E27FC236}">
                  <a16:creationId xmlns:a16="http://schemas.microsoft.com/office/drawing/2014/main" id="{00000000-0008-0000-0400-00007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48386" y="28967655"/>
              <a:ext cx="2595563" cy="2283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400-000075000000}"/>
                </a:ext>
              </a:extLst>
            </xdr:cNvPr>
            <xdr:cNvSpPr txBox="1"/>
          </xdr:nvSpPr>
          <xdr:spPr>
            <a:xfrm>
              <a:off x="12007892" y="28838754"/>
              <a:ext cx="759619" cy="2405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Peitoral</a:t>
              </a:r>
            </a:p>
          </xdr:txBody>
        </xdr:sp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400-000076000000}"/>
                </a:ext>
              </a:extLst>
            </xdr:cNvPr>
            <xdr:cNvSpPr txBox="1"/>
          </xdr:nvSpPr>
          <xdr:spPr>
            <a:xfrm>
              <a:off x="13051520" y="29284247"/>
              <a:ext cx="805957" cy="1545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Abdominal</a:t>
              </a:r>
            </a:p>
          </xdr:txBody>
        </xdr:sp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400-000077000000}"/>
                </a:ext>
              </a:extLst>
            </xdr:cNvPr>
            <xdr:cNvSpPr txBox="1"/>
          </xdr:nvSpPr>
          <xdr:spPr>
            <a:xfrm>
              <a:off x="12100761" y="30327349"/>
              <a:ext cx="528638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Coxa</a:t>
              </a:r>
            </a:p>
          </xdr:txBody>
        </xdr:sp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400-000078000000}"/>
                </a:ext>
              </a:extLst>
            </xdr:cNvPr>
            <xdr:cNvSpPr txBox="1"/>
          </xdr:nvSpPr>
          <xdr:spPr>
            <a:xfrm>
              <a:off x="14331991" y="29274836"/>
              <a:ext cx="631016" cy="2056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Tríceps</a:t>
              </a:r>
            </a:p>
          </xdr:txBody>
        </xdr:sp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400-000079000000}"/>
                </a:ext>
              </a:extLst>
            </xdr:cNvPr>
            <xdr:cNvSpPr txBox="1"/>
          </xdr:nvSpPr>
          <xdr:spPr>
            <a:xfrm>
              <a:off x="14081961" y="28900980"/>
              <a:ext cx="953943" cy="2628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Subescapular</a:t>
              </a:r>
            </a:p>
          </xdr:txBody>
        </xdr:sp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400-00007A000000}"/>
                </a:ext>
              </a:extLst>
            </xdr:cNvPr>
            <xdr:cNvSpPr txBox="1"/>
          </xdr:nvSpPr>
          <xdr:spPr>
            <a:xfrm rot="17626162">
              <a:off x="11849474" y="29464643"/>
              <a:ext cx="802469" cy="3413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Supra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ilíaca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3" name="Conector de seta reta 44">
              <a:extLst>
                <a:ext uri="{FF2B5EF4-FFF2-40B4-BE49-F238E27FC236}">
                  <a16:creationId xmlns:a16="http://schemas.microsoft.com/office/drawing/2014/main" id="{00000000-0008-0000-0400-00007B000000}"/>
                </a:ext>
              </a:extLst>
            </xdr:cNvPr>
            <xdr:cNvCxnSpPr>
              <a:stCxn id="121" idx="2"/>
            </xdr:cNvCxnSpPr>
          </xdr:nvCxnSpPr>
          <xdr:spPr>
            <a:xfrm flipH="1">
              <a:off x="14158162" y="29163795"/>
              <a:ext cx="400771" cy="42774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4" name="Conector de seta reta 45">
              <a:extLst>
                <a:ext uri="{FF2B5EF4-FFF2-40B4-BE49-F238E27FC236}">
                  <a16:creationId xmlns:a16="http://schemas.microsoft.com/office/drawing/2014/main" id="{00000000-0008-0000-0400-00007C000000}"/>
                </a:ext>
              </a:extLst>
            </xdr:cNvPr>
            <xdr:cNvCxnSpPr>
              <a:stCxn id="120" idx="2"/>
            </xdr:cNvCxnSpPr>
          </xdr:nvCxnSpPr>
          <xdr:spPr>
            <a:xfrm flipH="1">
              <a:off x="14360568" y="29480504"/>
              <a:ext cx="286932" cy="11103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5" name="Conector de seta reta 47">
              <a:extLst>
                <a:ext uri="{FF2B5EF4-FFF2-40B4-BE49-F238E27FC236}">
                  <a16:creationId xmlns:a16="http://schemas.microsoft.com/office/drawing/2014/main" id="{00000000-0008-0000-0400-00007D000000}"/>
                </a:ext>
              </a:extLst>
            </xdr:cNvPr>
            <xdr:cNvCxnSpPr>
              <a:stCxn id="119" idx="0"/>
            </xdr:cNvCxnSpPr>
          </xdr:nvCxnSpPr>
          <xdr:spPr>
            <a:xfrm rot="5400000" flipH="1" flipV="1">
              <a:off x="12492476" y="30133277"/>
              <a:ext cx="66676" cy="32146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6" name="Conector de seta reta 49">
              <a:extLst>
                <a:ext uri="{FF2B5EF4-FFF2-40B4-BE49-F238E27FC236}">
                  <a16:creationId xmlns:a16="http://schemas.microsoft.com/office/drawing/2014/main" id="{00000000-0008-0000-0400-00007E000000}"/>
                </a:ext>
              </a:extLst>
            </xdr:cNvPr>
            <xdr:cNvCxnSpPr/>
          </xdr:nvCxnSpPr>
          <xdr:spPr>
            <a:xfrm>
              <a:off x="12369997" y="29758122"/>
              <a:ext cx="313947" cy="13810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7" name="Conector de seta reta 50">
              <a:extLst>
                <a:ext uri="{FF2B5EF4-FFF2-40B4-BE49-F238E27FC236}">
                  <a16:creationId xmlns:a16="http://schemas.microsoft.com/office/drawing/2014/main" id="{00000000-0008-0000-0400-00007F000000}"/>
                </a:ext>
              </a:extLst>
            </xdr:cNvPr>
            <xdr:cNvCxnSpPr/>
          </xdr:nvCxnSpPr>
          <xdr:spPr>
            <a:xfrm flipH="1">
              <a:off x="12809848" y="29514787"/>
              <a:ext cx="458897" cy="321742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8" name="Conector de seta reta 51">
              <a:extLst>
                <a:ext uri="{FF2B5EF4-FFF2-40B4-BE49-F238E27FC236}">
                  <a16:creationId xmlns:a16="http://schemas.microsoft.com/office/drawing/2014/main" id="{00000000-0008-0000-0400-000080000000}"/>
                </a:ext>
              </a:extLst>
            </xdr:cNvPr>
            <xdr:cNvCxnSpPr/>
          </xdr:nvCxnSpPr>
          <xdr:spPr>
            <a:xfrm flipH="1">
              <a:off x="12697251" y="29208160"/>
              <a:ext cx="565561" cy="398401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9" name="Conector de seta reta 52">
              <a:extLst>
                <a:ext uri="{FF2B5EF4-FFF2-40B4-BE49-F238E27FC236}">
                  <a16:creationId xmlns:a16="http://schemas.microsoft.com/office/drawing/2014/main" id="{00000000-0008-0000-0400-000081000000}"/>
                </a:ext>
              </a:extLst>
            </xdr:cNvPr>
            <xdr:cNvCxnSpPr/>
          </xdr:nvCxnSpPr>
          <xdr:spPr>
            <a:xfrm>
              <a:off x="12375896" y="29055422"/>
              <a:ext cx="306342" cy="43218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30" name="CaixaDeTexto 129">
              <a:extLst>
                <a:ext uri="{FF2B5EF4-FFF2-40B4-BE49-F238E27FC236}">
                  <a16:creationId xmlns:a16="http://schemas.microsoft.com/office/drawing/2014/main" id="{00000000-0008-0000-0400-000082000000}"/>
                </a:ext>
              </a:extLst>
            </xdr:cNvPr>
            <xdr:cNvSpPr txBox="1"/>
          </xdr:nvSpPr>
          <xdr:spPr>
            <a:xfrm>
              <a:off x="13065745" y="28855423"/>
              <a:ext cx="835819" cy="3656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Axilar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média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</xdr:grpSp>
      <xdr:cxnSp macro="">
        <xdr:nvCxnSpPr>
          <xdr:cNvPr id="112" name="Conector de seta reta 47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CxnSpPr/>
        </xdr:nvCxnSpPr>
        <xdr:spPr>
          <a:xfrm flipH="1">
            <a:off x="6088224" y="19508755"/>
            <a:ext cx="575388" cy="202163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3" name="CaixaDeTexto 112">
            <a:extLst>
              <a:ext uri="{FF2B5EF4-FFF2-40B4-BE49-F238E27FC236}">
                <a16:creationId xmlns:a16="http://schemas.microsoft.com/office/drawing/2014/main" id="{00000000-0008-0000-0400-000071000000}"/>
              </a:ext>
            </a:extLst>
          </xdr:cNvPr>
          <xdr:cNvSpPr txBox="1"/>
        </xdr:nvSpPr>
        <xdr:spPr>
          <a:xfrm>
            <a:off x="6431412" y="19267075"/>
            <a:ext cx="865772" cy="137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Panturrilha</a:t>
            </a:r>
          </a:p>
        </xdr:txBody>
      </xdr:sp>
      <xdr:cxnSp macro="">
        <xdr:nvCxnSpPr>
          <xdr:cNvPr id="114" name="Conector de seta reta 52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CxnSpPr/>
        </xdr:nvCxnSpPr>
        <xdr:spPr>
          <a:xfrm>
            <a:off x="5722776" y="18272449"/>
            <a:ext cx="224279" cy="286285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5" name="CaixaDeTexto 114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SpPr txBox="1"/>
        </xdr:nvSpPr>
        <xdr:spPr>
          <a:xfrm>
            <a:off x="5249487" y="18100992"/>
            <a:ext cx="786841" cy="23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Bíceps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184</xdr:row>
          <xdr:rowOff>182880</xdr:rowOff>
        </xdr:from>
        <xdr:to>
          <xdr:col>7</xdr:col>
          <xdr:colOff>571500</xdr:colOff>
          <xdr:row>186</xdr:row>
          <xdr:rowOff>60960</xdr:rowOff>
        </xdr:to>
        <xdr:sp macro="" textlink="">
          <xdr:nvSpPr>
            <xdr:cNvPr id="47177" name="Caixa de seleção 112" hidden="1">
              <a:extLst>
                <a:ext uri="{63B3BB69-23CF-44E3-9099-C40C66FF867C}">
                  <a14:compatExt spid="_x0000_s43081"/>
                </a:ext>
                <a:ext uri="{FF2B5EF4-FFF2-40B4-BE49-F238E27FC236}">
                  <a16:creationId xmlns:a16="http://schemas.microsoft.com/office/drawing/2014/main" id="{00000000-0008-0000-0400-00004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190</xdr:row>
          <xdr:rowOff>0</xdr:rowOff>
        </xdr:from>
        <xdr:to>
          <xdr:col>9</xdr:col>
          <xdr:colOff>685800</xdr:colOff>
          <xdr:row>191</xdr:row>
          <xdr:rowOff>60960</xdr:rowOff>
        </xdr:to>
        <xdr:sp macro="" textlink="">
          <xdr:nvSpPr>
            <xdr:cNvPr id="47178" name="Caixa de seleção 112" hidden="1">
              <a:extLst>
                <a:ext uri="{63B3BB69-23CF-44E3-9099-C40C66FF867C}">
                  <a14:compatExt spid="_x0000_s43082"/>
                </a:ext>
                <a:ext uri="{FF2B5EF4-FFF2-40B4-BE49-F238E27FC236}">
                  <a16:creationId xmlns:a16="http://schemas.microsoft.com/office/drawing/2014/main" id="{00000000-0008-0000-0400-00004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7776</xdr:colOff>
      <xdr:row>170</xdr:row>
      <xdr:rowOff>177436</xdr:rowOff>
    </xdr:from>
    <xdr:to>
      <xdr:col>12</xdr:col>
      <xdr:colOff>7774</xdr:colOff>
      <xdr:row>186</xdr:row>
      <xdr:rowOff>72369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496" y="24797656"/>
          <a:ext cx="1188718" cy="21733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170</xdr:row>
      <xdr:rowOff>178837</xdr:rowOff>
    </xdr:from>
    <xdr:to>
      <xdr:col>15</xdr:col>
      <xdr:colOff>15551</xdr:colOff>
      <xdr:row>186</xdr:row>
      <xdr:rowOff>61483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320" y="24799057"/>
          <a:ext cx="1204271" cy="2161026"/>
        </a:xfrm>
        <a:prstGeom prst="rect">
          <a:avLst/>
        </a:prstGeom>
      </xdr:spPr>
    </xdr:pic>
    <xdr:clientData/>
  </xdr:twoCellAnchor>
  <xdr:twoCellAnchor editAs="oneCell">
    <xdr:from>
      <xdr:col>6</xdr:col>
      <xdr:colOff>89728</xdr:colOff>
      <xdr:row>189</xdr:row>
      <xdr:rowOff>4666</xdr:rowOff>
    </xdr:from>
    <xdr:to>
      <xdr:col>8</xdr:col>
      <xdr:colOff>11039</xdr:colOff>
      <xdr:row>204</xdr:row>
      <xdr:rowOff>68792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168" y="27429046"/>
          <a:ext cx="1201471" cy="2144386"/>
        </a:xfrm>
        <a:prstGeom prst="rect">
          <a:avLst/>
        </a:prstGeom>
      </xdr:spPr>
    </xdr:pic>
    <xdr:clientData/>
  </xdr:twoCellAnchor>
  <xdr:twoCellAnchor editAs="oneCell">
    <xdr:from>
      <xdr:col>12</xdr:col>
      <xdr:colOff>180392</xdr:colOff>
      <xdr:row>189</xdr:row>
      <xdr:rowOff>9332</xdr:rowOff>
    </xdr:from>
    <xdr:to>
      <xdr:col>15</xdr:col>
      <xdr:colOff>9331</xdr:colOff>
      <xdr:row>204</xdr:row>
      <xdr:rowOff>73458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832" y="27433712"/>
          <a:ext cx="1200539" cy="21443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199</xdr:row>
          <xdr:rowOff>7620</xdr:rowOff>
        </xdr:from>
        <xdr:to>
          <xdr:col>5</xdr:col>
          <xdr:colOff>708660</xdr:colOff>
          <xdr:row>200</xdr:row>
          <xdr:rowOff>60960</xdr:rowOff>
        </xdr:to>
        <xdr:sp macro="" textlink="">
          <xdr:nvSpPr>
            <xdr:cNvPr id="47179" name="Caixa de seleção 68" hidden="1">
              <a:extLst>
                <a:ext uri="{63B3BB69-23CF-44E3-9099-C40C66FF867C}">
                  <a14:compatExt spid="_x0000_s43083"/>
                </a:ext>
                <a:ext uri="{FF2B5EF4-FFF2-40B4-BE49-F238E27FC236}">
                  <a16:creationId xmlns:a16="http://schemas.microsoft.com/office/drawing/2014/main" id="{00000000-0008-0000-0400-00004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845820</xdr:colOff>
          <xdr:row>211</xdr:row>
          <xdr:rowOff>0</xdr:rowOff>
        </xdr:from>
        <xdr:to>
          <xdr:col>7</xdr:col>
          <xdr:colOff>403860</xdr:colOff>
          <xdr:row>212</xdr:row>
          <xdr:rowOff>60960</xdr:rowOff>
        </xdr:to>
        <xdr:sp macro="" textlink="">
          <xdr:nvSpPr>
            <xdr:cNvPr id="47180" name="Caixa de seleção 82" hidden="1">
              <a:extLst>
                <a:ext uri="{63B3BB69-23CF-44E3-9099-C40C66FF867C}">
                  <a14:compatExt spid="_x0000_s43084"/>
                </a:ext>
                <a:ext uri="{FF2B5EF4-FFF2-40B4-BE49-F238E27FC236}">
                  <a16:creationId xmlns:a16="http://schemas.microsoft.com/office/drawing/2014/main" id="{00000000-0008-0000-0400-00004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Supinado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192</xdr:row>
          <xdr:rowOff>175260</xdr:rowOff>
        </xdr:from>
        <xdr:to>
          <xdr:col>10</xdr:col>
          <xdr:colOff>38100</xdr:colOff>
          <xdr:row>194</xdr:row>
          <xdr:rowOff>68580</xdr:rowOff>
        </xdr:to>
        <xdr:sp macro="" textlink="">
          <xdr:nvSpPr>
            <xdr:cNvPr id="47181" name="Caixa de seleção 99" hidden="1">
              <a:extLst>
                <a:ext uri="{63B3BB69-23CF-44E3-9099-C40C66FF867C}">
                  <a14:compatExt spid="_x0000_s43085"/>
                </a:ext>
                <a:ext uri="{FF2B5EF4-FFF2-40B4-BE49-F238E27FC236}">
                  <a16:creationId xmlns:a16="http://schemas.microsoft.com/office/drawing/2014/main" id="{00000000-0008-0000-0400-00004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192</xdr:row>
          <xdr:rowOff>175260</xdr:rowOff>
        </xdr:from>
        <xdr:to>
          <xdr:col>12</xdr:col>
          <xdr:colOff>144780</xdr:colOff>
          <xdr:row>194</xdr:row>
          <xdr:rowOff>68580</xdr:rowOff>
        </xdr:to>
        <xdr:sp macro="" textlink="">
          <xdr:nvSpPr>
            <xdr:cNvPr id="47182" name="Caixa de seleção 100" hidden="1">
              <a:extLst>
                <a:ext uri="{63B3BB69-23CF-44E3-9099-C40C66FF867C}">
                  <a14:compatExt spid="_x0000_s43086"/>
                </a:ext>
                <a:ext uri="{FF2B5EF4-FFF2-40B4-BE49-F238E27FC236}">
                  <a16:creationId xmlns:a16="http://schemas.microsoft.com/office/drawing/2014/main" id="{00000000-0008-0000-0400-00004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99060</xdr:colOff>
      <xdr:row>103</xdr:row>
      <xdr:rowOff>49530</xdr:rowOff>
    </xdr:from>
    <xdr:to>
      <xdr:col>9</xdr:col>
      <xdr:colOff>982980</xdr:colOff>
      <xdr:row>112</xdr:row>
      <xdr:rowOff>129540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30480</xdr:colOff>
      <xdr:row>103</xdr:row>
      <xdr:rowOff>41910</xdr:rowOff>
    </xdr:from>
    <xdr:to>
      <xdr:col>6</xdr:col>
      <xdr:colOff>83820</xdr:colOff>
      <xdr:row>112</xdr:row>
      <xdr:rowOff>121920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148</xdr:row>
      <xdr:rowOff>142875</xdr:rowOff>
    </xdr:from>
    <xdr:to>
      <xdr:col>3</xdr:col>
      <xdr:colOff>758960</xdr:colOff>
      <xdr:row>153</xdr:row>
      <xdr:rowOff>117180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21494115"/>
          <a:ext cx="587509" cy="88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153</xdr:row>
      <xdr:rowOff>171450</xdr:rowOff>
    </xdr:from>
    <xdr:to>
      <xdr:col>3</xdr:col>
      <xdr:colOff>765729</xdr:colOff>
      <xdr:row>158</xdr:row>
      <xdr:rowOff>116841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1" y="22437090"/>
          <a:ext cx="632378" cy="85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158</xdr:row>
      <xdr:rowOff>142875</xdr:rowOff>
    </xdr:from>
    <xdr:to>
      <xdr:col>3</xdr:col>
      <xdr:colOff>796424</xdr:colOff>
      <xdr:row>162</xdr:row>
      <xdr:rowOff>155036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23322915"/>
          <a:ext cx="682124" cy="7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90736</xdr:colOff>
      <xdr:row>278</xdr:row>
      <xdr:rowOff>100265</xdr:rowOff>
    </xdr:from>
    <xdr:to>
      <xdr:col>5</xdr:col>
      <xdr:colOff>491557</xdr:colOff>
      <xdr:row>284</xdr:row>
      <xdr:rowOff>73272</xdr:rowOff>
    </xdr:to>
    <xdr:pic>
      <xdr:nvPicPr>
        <xdr:cNvPr id="5" name="Imagem 61" descr="flexao de braço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16" y="42688445"/>
          <a:ext cx="1589541" cy="1093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80213</xdr:colOff>
      <xdr:row>269</xdr:row>
      <xdr:rowOff>160417</xdr:rowOff>
    </xdr:from>
    <xdr:to>
      <xdr:col>5</xdr:col>
      <xdr:colOff>879141</xdr:colOff>
      <xdr:row>275</xdr:row>
      <xdr:rowOff>73165</xdr:rowOff>
    </xdr:to>
    <xdr:pic>
      <xdr:nvPicPr>
        <xdr:cNvPr id="6" name="Imagem 62" descr="abdominal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7"/>
        <a:stretch/>
      </xdr:blipFill>
      <xdr:spPr bwMode="auto">
        <a:xfrm>
          <a:off x="545033" y="41079817"/>
          <a:ext cx="2086708" cy="103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90639</xdr:colOff>
      <xdr:row>82</xdr:row>
      <xdr:rowOff>58556</xdr:rowOff>
    </xdr:from>
    <xdr:to>
      <xdr:col>15</xdr:col>
      <xdr:colOff>8020</xdr:colOff>
      <xdr:row>96</xdr:row>
      <xdr:rowOff>81016</xdr:rowOff>
    </xdr:to>
    <xdr:grpSp>
      <xdr:nvGrpSpPr>
        <xdr:cNvPr id="7" name="Grupo 3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6662889" y="13850756"/>
          <a:ext cx="1288981" cy="2594210"/>
          <a:chOff x="8091237" y="5313948"/>
          <a:chExt cx="1843521" cy="3157970"/>
        </a:xfrm>
      </xdr:grpSpPr>
      <xdr:grpSp>
        <xdr:nvGrpSpPr>
          <xdr:cNvPr id="8" name="Grupo 2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GrpSpPr/>
        </xdr:nvGrpSpPr>
        <xdr:grpSpPr>
          <a:xfrm>
            <a:off x="8091237" y="5313948"/>
            <a:ext cx="1843521" cy="3157970"/>
            <a:chOff x="8813132" y="5514474"/>
            <a:chExt cx="1843521" cy="3157970"/>
          </a:xfrm>
        </xdr:grpSpPr>
        <xdr:pic>
          <xdr:nvPicPr>
            <xdr:cNvPr id="11" name="Imagem 1" descr="masculino_frente.jpg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13132" y="5514474"/>
              <a:ext cx="1843521" cy="31579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" name="Seta para a esquerda e para a direita 114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SpPr/>
          </xdr:nvSpPr>
          <xdr:spPr>
            <a:xfrm>
              <a:off x="9439185" y="7016827"/>
              <a:ext cx="648565" cy="95250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3" name="Seta para a esquerda e para a direita 115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SpPr/>
          </xdr:nvSpPr>
          <xdr:spPr>
            <a:xfrm>
              <a:off x="9490273" y="6217592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4" name="Seta para a esquerda e para a direita 116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/>
          </xdr:nvSpPr>
          <xdr:spPr>
            <a:xfrm>
              <a:off x="9490273" y="6508358"/>
              <a:ext cx="530802" cy="9524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5" name="Seta para a esquerda e para a direita 117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SpPr/>
          </xdr:nvSpPr>
          <xdr:spPr>
            <a:xfrm rot="19807583">
              <a:off x="10149931" y="663444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6" name="Seta para a esquerda e para a direita 118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SpPr/>
          </xdr:nvSpPr>
          <xdr:spPr>
            <a:xfrm rot="19807583">
              <a:off x="10041837" y="6394393"/>
              <a:ext cx="196782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7" name="Seta para a esquerda e para a direita 119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/>
          </xdr:nvSpPr>
          <xdr:spPr>
            <a:xfrm rot="1606633">
              <a:off x="9189784" y="6624919"/>
              <a:ext cx="196781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8" name="Seta para a esquerda e para a direita 120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SpPr/>
          </xdr:nvSpPr>
          <xdr:spPr>
            <a:xfrm rot="1606633">
              <a:off x="9282932" y="6404880"/>
              <a:ext cx="191819" cy="73443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19" name="Seta para a esquerda e para a direita 121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SpPr/>
          </xdr:nvSpPr>
          <xdr:spPr>
            <a:xfrm>
              <a:off x="9410037" y="7305356"/>
              <a:ext cx="341801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0" name="Seta para a esquerda e para a direita 122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SpPr/>
          </xdr:nvSpPr>
          <xdr:spPr>
            <a:xfrm>
              <a:off x="9797108" y="7302573"/>
              <a:ext cx="336838" cy="8806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1" name="Seta para a esquerda e para a direita 123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>
              <a:off x="9951258" y="7919450"/>
              <a:ext cx="256464" cy="85826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2" name="Seta para a esquerda e para a direita 124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/>
          </xdr:nvSpPr>
          <xdr:spPr>
            <a:xfrm>
              <a:off x="9387385" y="7941282"/>
              <a:ext cx="256465" cy="87967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23" name="Heptágono 22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/>
          </xdr:nvSpPr>
          <xdr:spPr>
            <a:xfrm>
              <a:off x="9661723" y="6198542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1000"/>
                <a:t>2</a:t>
              </a:r>
            </a:p>
          </xdr:txBody>
        </xdr:sp>
        <xdr:sp macro="" textlink="">
          <xdr:nvSpPr>
            <xdr:cNvPr id="24" name="Heptágono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/>
          </xdr:nvSpPr>
          <xdr:spPr>
            <a:xfrm>
              <a:off x="9661723" y="6479783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3</a:t>
              </a:r>
            </a:p>
          </xdr:txBody>
        </xdr:sp>
        <xdr:sp macro="" textlink="">
          <xdr:nvSpPr>
            <xdr:cNvPr id="25" name="Heptágono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/>
          </xdr:nvSpPr>
          <xdr:spPr>
            <a:xfrm>
              <a:off x="9661723" y="6988251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5</a:t>
              </a:r>
            </a:p>
          </xdr:txBody>
        </xdr:sp>
        <xdr:sp macro="" textlink="">
          <xdr:nvSpPr>
            <xdr:cNvPr id="26" name="Heptágono 25">
              <a:extLst>
                <a:ext uri="{FF2B5EF4-FFF2-40B4-BE49-F238E27FC236}">
                  <a16:creationId xmlns:a16="http://schemas.microsoft.com/office/drawing/2014/main" id="{00000000-0008-0000-0500-00001A000000}"/>
                </a:ext>
              </a:extLst>
            </xdr:cNvPr>
            <xdr:cNvSpPr/>
          </xdr:nvSpPr>
          <xdr:spPr>
            <a:xfrm>
              <a:off x="9661723" y="7263610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800"/>
                <a:t>8</a:t>
              </a:r>
            </a:p>
          </xdr:txBody>
        </xdr:sp>
        <xdr:sp macro="" textlink="">
          <xdr:nvSpPr>
            <xdr:cNvPr id="27" name="Heptágono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SpPr/>
          </xdr:nvSpPr>
          <xdr:spPr>
            <a:xfrm>
              <a:off x="9690298" y="7901785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9</a:t>
              </a:r>
            </a:p>
          </xdr:txBody>
        </xdr:sp>
        <xdr:sp macro="" textlink="">
          <xdr:nvSpPr>
            <xdr:cNvPr id="28" name="Heptágono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/>
          </xdr:nvSpPr>
          <xdr:spPr>
            <a:xfrm>
              <a:off x="9060481" y="6293158"/>
              <a:ext cx="213515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6</a:t>
              </a:r>
            </a:p>
          </xdr:txBody>
        </xdr:sp>
        <xdr:sp macro="" textlink="">
          <xdr:nvSpPr>
            <xdr:cNvPr id="29" name="Heptágono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/>
          </xdr:nvSpPr>
          <xdr:spPr>
            <a:xfrm>
              <a:off x="8946482" y="65128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7</a:t>
              </a:r>
            </a:p>
          </xdr:txBody>
        </xdr:sp>
        <xdr:sp macro="" textlink="">
          <xdr:nvSpPr>
            <xdr:cNvPr id="30" name="Seta para a esquerda e para a direita 13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SpPr/>
          </xdr:nvSpPr>
          <xdr:spPr>
            <a:xfrm>
              <a:off x="9353461" y="6084242"/>
              <a:ext cx="810490" cy="114299"/>
            </a:xfrm>
            <a:prstGeom prst="leftRightArrow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endParaRPr lang="pt-BR"/>
            </a:p>
          </xdr:txBody>
        </xdr:sp>
        <xdr:sp macro="" textlink="">
          <xdr:nvSpPr>
            <xdr:cNvPr id="31" name="Heptágono 30">
              <a:extLst>
                <a:ext uri="{FF2B5EF4-FFF2-40B4-BE49-F238E27FC236}">
                  <a16:creationId xmlns:a16="http://schemas.microsoft.com/office/drawing/2014/main" id="{00000000-0008-0000-0500-00001F000000}"/>
                </a:ext>
              </a:extLst>
            </xdr:cNvPr>
            <xdr:cNvSpPr/>
          </xdr:nvSpPr>
          <xdr:spPr>
            <a:xfrm>
              <a:off x="9121396" y="6055667"/>
              <a:ext cx="213516" cy="142875"/>
            </a:xfrm>
            <a:prstGeom prst="heptagon">
              <a:avLst/>
            </a:prstGeom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rtlCol="0" anchor="ctr"/>
            <a:lstStyle/>
            <a:p>
              <a:pPr algn="ctr"/>
              <a:r>
                <a:rPr lang="en-US" sz="900"/>
                <a:t>1</a:t>
              </a:r>
            </a:p>
          </xdr:txBody>
        </xdr:sp>
      </xdr:grpSp>
      <xdr:sp macro="" textlink="">
        <xdr:nvSpPr>
          <xdr:cNvPr id="9" name="Seta para a esquerda e para a direita 141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>
            <a:off x="8773027" y="6515601"/>
            <a:ext cx="530802" cy="95249"/>
          </a:xfrm>
          <a:prstGeom prst="leftRightArrow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10" name="Heptágono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>
          <a:xfrm>
            <a:off x="8944477" y="6487026"/>
            <a:ext cx="213516" cy="142875"/>
          </a:xfrm>
          <a:prstGeom prst="heptagon">
            <a:avLst/>
          </a:prstGeom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r>
              <a:rPr lang="en-US" sz="900"/>
              <a:t>4</a:t>
            </a:r>
          </a:p>
        </xdr:txBody>
      </xdr:sp>
    </xdr:grpSp>
    <xdr:clientData/>
  </xdr:twoCellAnchor>
  <xdr:twoCellAnchor editAs="oneCell">
    <xdr:from>
      <xdr:col>4</xdr:col>
      <xdr:colOff>160421</xdr:colOff>
      <xdr:row>218</xdr:row>
      <xdr:rowOff>168444</xdr:rowOff>
    </xdr:from>
    <xdr:to>
      <xdr:col>13</xdr:col>
      <xdr:colOff>40907</xdr:colOff>
      <xdr:row>263</xdr:row>
      <xdr:rowOff>187304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5771" t="15378" r="38039" b="20225"/>
        <a:stretch/>
      </xdr:blipFill>
      <xdr:spPr>
        <a:xfrm>
          <a:off x="1730141" y="31570464"/>
          <a:ext cx="5062086" cy="84313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18</xdr:row>
          <xdr:rowOff>91440</xdr:rowOff>
        </xdr:from>
        <xdr:to>
          <xdr:col>3</xdr:col>
          <xdr:colOff>975360</xdr:colOff>
          <xdr:row>20</xdr:row>
          <xdr:rowOff>0</xdr:rowOff>
        </xdr:to>
        <xdr:sp macro="" textlink="">
          <xdr:nvSpPr>
            <xdr:cNvPr id="48129" name="Caixa de seleção 2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5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Hipertrofia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91440</xdr:rowOff>
        </xdr:from>
        <xdr:to>
          <xdr:col>5</xdr:col>
          <xdr:colOff>731520</xdr:colOff>
          <xdr:row>20</xdr:row>
          <xdr:rowOff>0</xdr:rowOff>
        </xdr:to>
        <xdr:sp macro="" textlink="">
          <xdr:nvSpPr>
            <xdr:cNvPr id="48130" name="Caixa de seleção 3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5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18</xdr:row>
          <xdr:rowOff>91440</xdr:rowOff>
        </xdr:from>
        <xdr:to>
          <xdr:col>9</xdr:col>
          <xdr:colOff>1089660</xdr:colOff>
          <xdr:row>20</xdr:row>
          <xdr:rowOff>0</xdr:rowOff>
        </xdr:to>
        <xdr:sp macro="" textlink="">
          <xdr:nvSpPr>
            <xdr:cNvPr id="48131" name="Caixa de seleção 4" hidden="1">
              <a:extLst>
                <a:ext uri="{63B3BB69-23CF-44E3-9099-C40C66FF867C}">
                  <a14:compatExt spid="_x0000_s48131"/>
                </a:ext>
                <a:ext uri="{FF2B5EF4-FFF2-40B4-BE49-F238E27FC236}">
                  <a16:creationId xmlns:a16="http://schemas.microsoft.com/office/drawing/2014/main" id="{00000000-0008-0000-0500-00000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Saúde/ Bem estar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91440</xdr:rowOff>
        </xdr:from>
        <xdr:to>
          <xdr:col>7</xdr:col>
          <xdr:colOff>990600</xdr:colOff>
          <xdr:row>20</xdr:row>
          <xdr:rowOff>0</xdr:rowOff>
        </xdr:to>
        <xdr:sp macro="" textlink="">
          <xdr:nvSpPr>
            <xdr:cNvPr id="48132" name="Caixa de seleção 5" hidden="1">
              <a:extLst>
                <a:ext uri="{63B3BB69-23CF-44E3-9099-C40C66FF867C}">
                  <a14:compatExt spid="_x0000_s48132"/>
                </a:ext>
                <a:ext uri="{FF2B5EF4-FFF2-40B4-BE49-F238E27FC236}">
                  <a16:creationId xmlns:a16="http://schemas.microsoft.com/office/drawing/2014/main" id="{00000000-0008-0000-0500-00000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Definição Muscular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18</xdr:row>
          <xdr:rowOff>91440</xdr:rowOff>
        </xdr:from>
        <xdr:to>
          <xdr:col>12</xdr:col>
          <xdr:colOff>60960</xdr:colOff>
          <xdr:row>20</xdr:row>
          <xdr:rowOff>0</xdr:rowOff>
        </xdr:to>
        <xdr:sp macro="" textlink="">
          <xdr:nvSpPr>
            <xdr:cNvPr id="48133" name="Caixa de seleção 6" hidden="1">
              <a:extLst>
                <a:ext uri="{63B3BB69-23CF-44E3-9099-C40C66FF867C}">
                  <a14:compatExt spid="_x0000_s48133"/>
                </a:ext>
                <a:ext uri="{FF2B5EF4-FFF2-40B4-BE49-F238E27FC236}">
                  <a16:creationId xmlns:a16="http://schemas.microsoft.com/office/drawing/2014/main" id="{00000000-0008-0000-0500-00000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Emagrecimento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137160</xdr:colOff>
          <xdr:row>18</xdr:row>
          <xdr:rowOff>83820</xdr:rowOff>
        </xdr:from>
        <xdr:to>
          <xdr:col>14</xdr:col>
          <xdr:colOff>106680</xdr:colOff>
          <xdr:row>20</xdr:row>
          <xdr:rowOff>0</xdr:rowOff>
        </xdr:to>
        <xdr:sp macro="" textlink="">
          <xdr:nvSpPr>
            <xdr:cNvPr id="48134" name="Caixa de seleção 6" hidden="1">
              <a:extLst>
                <a:ext uri="{63B3BB69-23CF-44E3-9099-C40C66FF867C}">
                  <a14:compatExt spid="_x0000_s48134"/>
                </a:ext>
                <a:ext uri="{FF2B5EF4-FFF2-40B4-BE49-F238E27FC236}">
                  <a16:creationId xmlns:a16="http://schemas.microsoft.com/office/drawing/2014/main" id="{00000000-0008-0000-0500-00000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Preparação Física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169</xdr:row>
          <xdr:rowOff>175260</xdr:rowOff>
        </xdr:from>
        <xdr:to>
          <xdr:col>5</xdr:col>
          <xdr:colOff>579120</xdr:colOff>
          <xdr:row>171</xdr:row>
          <xdr:rowOff>38100</xdr:rowOff>
        </xdr:to>
        <xdr:sp macro="" textlink="">
          <xdr:nvSpPr>
            <xdr:cNvPr id="48135" name="Caixa de seleção 42" hidden="1">
              <a:extLst>
                <a:ext uri="{63B3BB69-23CF-44E3-9099-C40C66FF867C}">
                  <a14:compatExt spid="_x0000_s48135"/>
                </a:ext>
                <a:ext uri="{FF2B5EF4-FFF2-40B4-BE49-F238E27FC236}">
                  <a16:creationId xmlns:a16="http://schemas.microsoft.com/office/drawing/2014/main" id="{00000000-0008-0000-0500-00000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169</xdr:row>
          <xdr:rowOff>175260</xdr:rowOff>
        </xdr:from>
        <xdr:to>
          <xdr:col>7</xdr:col>
          <xdr:colOff>579120</xdr:colOff>
          <xdr:row>171</xdr:row>
          <xdr:rowOff>38100</xdr:rowOff>
        </xdr:to>
        <xdr:sp macro="" textlink="">
          <xdr:nvSpPr>
            <xdr:cNvPr id="48136" name="Caixa de seleção 44" hidden="1">
              <a:extLst>
                <a:ext uri="{63B3BB69-23CF-44E3-9099-C40C66FF867C}">
                  <a14:compatExt spid="_x0000_s48136"/>
                </a:ext>
                <a:ext uri="{FF2B5EF4-FFF2-40B4-BE49-F238E27FC236}">
                  <a16:creationId xmlns:a16="http://schemas.microsoft.com/office/drawing/2014/main" id="{00000000-0008-0000-0500-00000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169</xdr:row>
          <xdr:rowOff>175260</xdr:rowOff>
        </xdr:from>
        <xdr:to>
          <xdr:col>9</xdr:col>
          <xdr:colOff>579120</xdr:colOff>
          <xdr:row>171</xdr:row>
          <xdr:rowOff>38100</xdr:rowOff>
        </xdr:to>
        <xdr:sp macro="" textlink="">
          <xdr:nvSpPr>
            <xdr:cNvPr id="48137" name="Caixa de seleção 45" hidden="1">
              <a:extLst>
                <a:ext uri="{63B3BB69-23CF-44E3-9099-C40C66FF867C}">
                  <a14:compatExt spid="_x0000_s48137"/>
                </a:ext>
                <a:ext uri="{FF2B5EF4-FFF2-40B4-BE49-F238E27FC236}">
                  <a16:creationId xmlns:a16="http://schemas.microsoft.com/office/drawing/2014/main" id="{00000000-0008-0000-0500-00000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Diminuida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171</xdr:row>
          <xdr:rowOff>68580</xdr:rowOff>
        </xdr:from>
        <xdr:to>
          <xdr:col>5</xdr:col>
          <xdr:colOff>609600</xdr:colOff>
          <xdr:row>173</xdr:row>
          <xdr:rowOff>38100</xdr:rowOff>
        </xdr:to>
        <xdr:sp macro="" textlink="">
          <xdr:nvSpPr>
            <xdr:cNvPr id="48138" name="Caixa de seleção 47" hidden="1">
              <a:extLst>
                <a:ext uri="{63B3BB69-23CF-44E3-9099-C40C66FF867C}">
                  <a14:compatExt spid="_x0000_s48138"/>
                </a:ext>
                <a:ext uri="{FF2B5EF4-FFF2-40B4-BE49-F238E27FC236}">
                  <a16:creationId xmlns:a16="http://schemas.microsoft.com/office/drawing/2014/main" id="{00000000-0008-0000-0500-00000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171</xdr:row>
          <xdr:rowOff>68580</xdr:rowOff>
        </xdr:from>
        <xdr:to>
          <xdr:col>7</xdr:col>
          <xdr:colOff>563880</xdr:colOff>
          <xdr:row>173</xdr:row>
          <xdr:rowOff>38100</xdr:rowOff>
        </xdr:to>
        <xdr:sp macro="" textlink="">
          <xdr:nvSpPr>
            <xdr:cNvPr id="48139" name="Caixa de seleção 48" hidden="1">
              <a:extLst>
                <a:ext uri="{63B3BB69-23CF-44E3-9099-C40C66FF867C}">
                  <a14:compatExt spid="_x0000_s48139"/>
                </a:ext>
                <a:ext uri="{FF2B5EF4-FFF2-40B4-BE49-F238E27FC236}">
                  <a16:creationId xmlns:a16="http://schemas.microsoft.com/office/drawing/2014/main" id="{00000000-0008-0000-0500-00000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171</xdr:row>
          <xdr:rowOff>68580</xdr:rowOff>
        </xdr:from>
        <xdr:to>
          <xdr:col>9</xdr:col>
          <xdr:colOff>899160</xdr:colOff>
          <xdr:row>173</xdr:row>
          <xdr:rowOff>38100</xdr:rowOff>
        </xdr:to>
        <xdr:sp macro="" textlink="">
          <xdr:nvSpPr>
            <xdr:cNvPr id="48140" name="Caixa de seleção 49" hidden="1">
              <a:extLst>
                <a:ext uri="{63B3BB69-23CF-44E3-9099-C40C66FF867C}">
                  <a14:compatExt spid="_x0000_s48140"/>
                </a:ext>
                <a:ext uri="{FF2B5EF4-FFF2-40B4-BE49-F238E27FC236}">
                  <a16:creationId xmlns:a16="http://schemas.microsoft.com/office/drawing/2014/main" id="{00000000-0008-0000-0500-00000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Rotação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175</xdr:row>
          <xdr:rowOff>76200</xdr:rowOff>
        </xdr:from>
        <xdr:to>
          <xdr:col>5</xdr:col>
          <xdr:colOff>579120</xdr:colOff>
          <xdr:row>177</xdr:row>
          <xdr:rowOff>45720</xdr:rowOff>
        </xdr:to>
        <xdr:sp macro="" textlink="">
          <xdr:nvSpPr>
            <xdr:cNvPr id="48141" name="Caixa de seleção 50" hidden="1">
              <a:extLst>
                <a:ext uri="{63B3BB69-23CF-44E3-9099-C40C66FF867C}">
                  <a14:compatExt spid="_x0000_s48141"/>
                </a:ext>
                <a:ext uri="{FF2B5EF4-FFF2-40B4-BE49-F238E27FC236}">
                  <a16:creationId xmlns:a16="http://schemas.microsoft.com/office/drawing/2014/main" id="{00000000-0008-0000-0500-00000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175</xdr:row>
          <xdr:rowOff>76200</xdr:rowOff>
        </xdr:from>
        <xdr:to>
          <xdr:col>7</xdr:col>
          <xdr:colOff>579120</xdr:colOff>
          <xdr:row>177</xdr:row>
          <xdr:rowOff>45720</xdr:rowOff>
        </xdr:to>
        <xdr:sp macro="" textlink="">
          <xdr:nvSpPr>
            <xdr:cNvPr id="48142" name="Caixa de seleção 51" hidden="1">
              <a:extLst>
                <a:ext uri="{63B3BB69-23CF-44E3-9099-C40C66FF867C}">
                  <a14:compatExt spid="_x0000_s48142"/>
                </a:ext>
                <a:ext uri="{FF2B5EF4-FFF2-40B4-BE49-F238E27FC236}">
                  <a16:creationId xmlns:a16="http://schemas.microsoft.com/office/drawing/2014/main" id="{00000000-0008-0000-0500-00000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175</xdr:row>
          <xdr:rowOff>76200</xdr:rowOff>
        </xdr:from>
        <xdr:to>
          <xdr:col>9</xdr:col>
          <xdr:colOff>579120</xdr:colOff>
          <xdr:row>177</xdr:row>
          <xdr:rowOff>45720</xdr:rowOff>
        </xdr:to>
        <xdr:sp macro="" textlink="">
          <xdr:nvSpPr>
            <xdr:cNvPr id="48143" name="Caixa de seleção 52" hidden="1">
              <a:extLst>
                <a:ext uri="{63B3BB69-23CF-44E3-9099-C40C66FF867C}">
                  <a14:compatExt spid="_x0000_s48143"/>
                </a:ext>
                <a:ext uri="{FF2B5EF4-FFF2-40B4-BE49-F238E27FC236}">
                  <a16:creationId xmlns:a16="http://schemas.microsoft.com/office/drawing/2014/main" id="{00000000-0008-0000-0500-00000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177</xdr:row>
          <xdr:rowOff>76200</xdr:rowOff>
        </xdr:from>
        <xdr:to>
          <xdr:col>5</xdr:col>
          <xdr:colOff>579120</xdr:colOff>
          <xdr:row>179</xdr:row>
          <xdr:rowOff>60960</xdr:rowOff>
        </xdr:to>
        <xdr:sp macro="" textlink="">
          <xdr:nvSpPr>
            <xdr:cNvPr id="48144" name="Caixa de seleção 53" hidden="1">
              <a:extLst>
                <a:ext uri="{63B3BB69-23CF-44E3-9099-C40C66FF867C}">
                  <a14:compatExt spid="_x0000_s48144"/>
                </a:ext>
                <a:ext uri="{FF2B5EF4-FFF2-40B4-BE49-F238E27FC236}">
                  <a16:creationId xmlns:a16="http://schemas.microsoft.com/office/drawing/2014/main" id="{00000000-0008-0000-0500-00001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Fisioóogica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177</xdr:row>
          <xdr:rowOff>76200</xdr:rowOff>
        </xdr:from>
        <xdr:to>
          <xdr:col>7</xdr:col>
          <xdr:colOff>579120</xdr:colOff>
          <xdr:row>179</xdr:row>
          <xdr:rowOff>60960</xdr:rowOff>
        </xdr:to>
        <xdr:sp macro="" textlink="">
          <xdr:nvSpPr>
            <xdr:cNvPr id="48145" name="Caixa de seleção 54" hidden="1">
              <a:extLst>
                <a:ext uri="{63B3BB69-23CF-44E3-9099-C40C66FF867C}">
                  <a14:compatExt spid="_x0000_s48145"/>
                </a:ext>
                <a:ext uri="{FF2B5EF4-FFF2-40B4-BE49-F238E27FC236}">
                  <a16:creationId xmlns:a16="http://schemas.microsoft.com/office/drawing/2014/main" id="{00000000-0008-0000-0500-00001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177</xdr:row>
          <xdr:rowOff>76200</xdr:rowOff>
        </xdr:from>
        <xdr:to>
          <xdr:col>9</xdr:col>
          <xdr:colOff>579120</xdr:colOff>
          <xdr:row>179</xdr:row>
          <xdr:rowOff>60960</xdr:rowOff>
        </xdr:to>
        <xdr:sp macro="" textlink="">
          <xdr:nvSpPr>
            <xdr:cNvPr id="48146" name="Caixa de seleção 55" hidden="1">
              <a:extLst>
                <a:ext uri="{63B3BB69-23CF-44E3-9099-C40C66FF867C}">
                  <a14:compatExt spid="_x0000_s48146"/>
                </a:ext>
                <a:ext uri="{FF2B5EF4-FFF2-40B4-BE49-F238E27FC236}">
                  <a16:creationId xmlns:a16="http://schemas.microsoft.com/office/drawing/2014/main" id="{00000000-0008-0000-0500-00001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Retificada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179</xdr:row>
          <xdr:rowOff>76200</xdr:rowOff>
        </xdr:from>
        <xdr:to>
          <xdr:col>5</xdr:col>
          <xdr:colOff>579120</xdr:colOff>
          <xdr:row>181</xdr:row>
          <xdr:rowOff>22860</xdr:rowOff>
        </xdr:to>
        <xdr:sp macro="" textlink="">
          <xdr:nvSpPr>
            <xdr:cNvPr id="48147" name="Caixa de seleção 59" hidden="1">
              <a:extLst>
                <a:ext uri="{63B3BB69-23CF-44E3-9099-C40C66FF867C}">
                  <a14:compatExt spid="_x0000_s48147"/>
                </a:ext>
                <a:ext uri="{FF2B5EF4-FFF2-40B4-BE49-F238E27FC236}">
                  <a16:creationId xmlns:a16="http://schemas.microsoft.com/office/drawing/2014/main" id="{00000000-0008-0000-0500-00001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179</xdr:row>
          <xdr:rowOff>76200</xdr:rowOff>
        </xdr:from>
        <xdr:to>
          <xdr:col>7</xdr:col>
          <xdr:colOff>579120</xdr:colOff>
          <xdr:row>181</xdr:row>
          <xdr:rowOff>22860</xdr:rowOff>
        </xdr:to>
        <xdr:sp macro="" textlink="">
          <xdr:nvSpPr>
            <xdr:cNvPr id="48148" name="Caixa de seleção 60" hidden="1">
              <a:extLst>
                <a:ext uri="{63B3BB69-23CF-44E3-9099-C40C66FF867C}">
                  <a14:compatExt spid="_x0000_s48148"/>
                </a:ext>
                <a:ext uri="{FF2B5EF4-FFF2-40B4-BE49-F238E27FC236}">
                  <a16:creationId xmlns:a16="http://schemas.microsoft.com/office/drawing/2014/main" id="{00000000-0008-0000-0500-00001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Anteversão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179</xdr:row>
          <xdr:rowOff>76200</xdr:rowOff>
        </xdr:from>
        <xdr:to>
          <xdr:col>9</xdr:col>
          <xdr:colOff>579120</xdr:colOff>
          <xdr:row>181</xdr:row>
          <xdr:rowOff>22860</xdr:rowOff>
        </xdr:to>
        <xdr:sp macro="" textlink="">
          <xdr:nvSpPr>
            <xdr:cNvPr id="48149" name="Caixa de seleção 61" hidden="1">
              <a:extLst>
                <a:ext uri="{63B3BB69-23CF-44E3-9099-C40C66FF867C}">
                  <a14:compatExt spid="_x0000_s48149"/>
                </a:ext>
                <a:ext uri="{FF2B5EF4-FFF2-40B4-BE49-F238E27FC236}">
                  <a16:creationId xmlns:a16="http://schemas.microsoft.com/office/drawing/2014/main" id="{00000000-0008-0000-0500-00001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Retroversão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181</xdr:row>
          <xdr:rowOff>76200</xdr:rowOff>
        </xdr:from>
        <xdr:to>
          <xdr:col>5</xdr:col>
          <xdr:colOff>579120</xdr:colOff>
          <xdr:row>183</xdr:row>
          <xdr:rowOff>38100</xdr:rowOff>
        </xdr:to>
        <xdr:sp macro="" textlink="">
          <xdr:nvSpPr>
            <xdr:cNvPr id="48150" name="Caixa de seleção 62" hidden="1">
              <a:extLst>
                <a:ext uri="{63B3BB69-23CF-44E3-9099-C40C66FF867C}">
                  <a14:compatExt spid="_x0000_s48150"/>
                </a:ext>
                <a:ext uri="{FF2B5EF4-FFF2-40B4-BE49-F238E27FC236}">
                  <a16:creationId xmlns:a16="http://schemas.microsoft.com/office/drawing/2014/main" id="{00000000-0008-0000-0500-00001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181</xdr:row>
          <xdr:rowOff>76200</xdr:rowOff>
        </xdr:from>
        <xdr:to>
          <xdr:col>7</xdr:col>
          <xdr:colOff>579120</xdr:colOff>
          <xdr:row>183</xdr:row>
          <xdr:rowOff>38100</xdr:rowOff>
        </xdr:to>
        <xdr:sp macro="" textlink="">
          <xdr:nvSpPr>
            <xdr:cNvPr id="48151" name="Caixa de seleção 63" hidden="1">
              <a:extLst>
                <a:ext uri="{63B3BB69-23CF-44E3-9099-C40C66FF867C}">
                  <a14:compatExt spid="_x0000_s48151"/>
                </a:ext>
                <a:ext uri="{FF2B5EF4-FFF2-40B4-BE49-F238E27FC236}">
                  <a16:creationId xmlns:a16="http://schemas.microsoft.com/office/drawing/2014/main" id="{00000000-0008-0000-0500-00001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Recurvatum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181</xdr:row>
          <xdr:rowOff>76200</xdr:rowOff>
        </xdr:from>
        <xdr:to>
          <xdr:col>9</xdr:col>
          <xdr:colOff>579120</xdr:colOff>
          <xdr:row>183</xdr:row>
          <xdr:rowOff>38100</xdr:rowOff>
        </xdr:to>
        <xdr:sp macro="" textlink="">
          <xdr:nvSpPr>
            <xdr:cNvPr id="48152" name="Caixa de seleção 64" hidden="1">
              <a:extLst>
                <a:ext uri="{63B3BB69-23CF-44E3-9099-C40C66FF867C}">
                  <a14:compatExt spid="_x0000_s48152"/>
                </a:ext>
                <a:ext uri="{FF2B5EF4-FFF2-40B4-BE49-F238E27FC236}">
                  <a16:creationId xmlns:a16="http://schemas.microsoft.com/office/drawing/2014/main" id="{00000000-0008-0000-0500-00001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Flexo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173</xdr:row>
          <xdr:rowOff>68580</xdr:rowOff>
        </xdr:from>
        <xdr:to>
          <xdr:col>5</xdr:col>
          <xdr:colOff>579120</xdr:colOff>
          <xdr:row>175</xdr:row>
          <xdr:rowOff>45720</xdr:rowOff>
        </xdr:to>
        <xdr:sp macro="" textlink="">
          <xdr:nvSpPr>
            <xdr:cNvPr id="48153" name="Caixa de seleção 107" hidden="1">
              <a:extLst>
                <a:ext uri="{63B3BB69-23CF-44E3-9099-C40C66FF867C}">
                  <a14:compatExt spid="_x0000_s48153"/>
                </a:ext>
                <a:ext uri="{FF2B5EF4-FFF2-40B4-BE49-F238E27FC236}">
                  <a16:creationId xmlns:a16="http://schemas.microsoft.com/office/drawing/2014/main" id="{00000000-0008-0000-0500-00001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Fisiológico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173</xdr:row>
          <xdr:rowOff>68580</xdr:rowOff>
        </xdr:from>
        <xdr:to>
          <xdr:col>7</xdr:col>
          <xdr:colOff>563880</xdr:colOff>
          <xdr:row>175</xdr:row>
          <xdr:rowOff>45720</xdr:rowOff>
        </xdr:to>
        <xdr:sp macro="" textlink="">
          <xdr:nvSpPr>
            <xdr:cNvPr id="48154" name="Caixa de seleção 108" hidden="1">
              <a:extLst>
                <a:ext uri="{63B3BB69-23CF-44E3-9099-C40C66FF867C}">
                  <a14:compatExt spid="_x0000_s48154"/>
                </a:ext>
                <a:ext uri="{FF2B5EF4-FFF2-40B4-BE49-F238E27FC236}">
                  <a16:creationId xmlns:a16="http://schemas.microsoft.com/office/drawing/2014/main" id="{00000000-0008-0000-0500-00001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Protuso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183</xdr:row>
          <xdr:rowOff>76200</xdr:rowOff>
        </xdr:from>
        <xdr:to>
          <xdr:col>7</xdr:col>
          <xdr:colOff>594360</xdr:colOff>
          <xdr:row>185</xdr:row>
          <xdr:rowOff>60960</xdr:rowOff>
        </xdr:to>
        <xdr:sp macro="" textlink="">
          <xdr:nvSpPr>
            <xdr:cNvPr id="48155" name="Caixa de seleção 109" hidden="1">
              <a:extLst>
                <a:ext uri="{63B3BB69-23CF-44E3-9099-C40C66FF867C}">
                  <a14:compatExt spid="_x0000_s48155"/>
                </a:ext>
                <a:ext uri="{FF2B5EF4-FFF2-40B4-BE49-F238E27FC236}">
                  <a16:creationId xmlns:a16="http://schemas.microsoft.com/office/drawing/2014/main" id="{00000000-0008-0000-0500-00001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183</xdr:row>
          <xdr:rowOff>76200</xdr:rowOff>
        </xdr:from>
        <xdr:to>
          <xdr:col>5</xdr:col>
          <xdr:colOff>579120</xdr:colOff>
          <xdr:row>185</xdr:row>
          <xdr:rowOff>60960</xdr:rowOff>
        </xdr:to>
        <xdr:sp macro="" textlink="">
          <xdr:nvSpPr>
            <xdr:cNvPr id="48156" name="Caixa de seleção 110" hidden="1">
              <a:extLst>
                <a:ext uri="{63B3BB69-23CF-44E3-9099-C40C66FF867C}">
                  <a14:compatExt spid="_x0000_s48156"/>
                </a:ext>
                <a:ext uri="{FF2B5EF4-FFF2-40B4-BE49-F238E27FC236}">
                  <a16:creationId xmlns:a16="http://schemas.microsoft.com/office/drawing/2014/main" id="{00000000-0008-0000-0500-00001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</xdr:colOff>
          <xdr:row>183</xdr:row>
          <xdr:rowOff>76200</xdr:rowOff>
        </xdr:from>
        <xdr:to>
          <xdr:col>9</xdr:col>
          <xdr:colOff>579120</xdr:colOff>
          <xdr:row>185</xdr:row>
          <xdr:rowOff>45720</xdr:rowOff>
        </xdr:to>
        <xdr:sp macro="" textlink="">
          <xdr:nvSpPr>
            <xdr:cNvPr id="48157" name="Caixa de seleção 111" hidden="1">
              <a:extLst>
                <a:ext uri="{63B3BB69-23CF-44E3-9099-C40C66FF867C}">
                  <a14:compatExt spid="_x0000_s48157"/>
                </a:ext>
                <a:ext uri="{FF2B5EF4-FFF2-40B4-BE49-F238E27FC236}">
                  <a16:creationId xmlns:a16="http://schemas.microsoft.com/office/drawing/2014/main" id="{00000000-0008-0000-0500-00001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Calcâneo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184</xdr:row>
          <xdr:rowOff>182880</xdr:rowOff>
        </xdr:from>
        <xdr:to>
          <xdr:col>5</xdr:col>
          <xdr:colOff>571500</xdr:colOff>
          <xdr:row>186</xdr:row>
          <xdr:rowOff>60960</xdr:rowOff>
        </xdr:to>
        <xdr:sp macro="" textlink="">
          <xdr:nvSpPr>
            <xdr:cNvPr id="48158" name="Caixa de seleção 112" hidden="1">
              <a:extLst>
                <a:ext uri="{63B3BB69-23CF-44E3-9099-C40C66FF867C}">
                  <a14:compatExt spid="_x0000_s48158"/>
                </a:ext>
                <a:ext uri="{FF2B5EF4-FFF2-40B4-BE49-F238E27FC236}">
                  <a16:creationId xmlns:a16="http://schemas.microsoft.com/office/drawing/2014/main" id="{00000000-0008-0000-0500-00001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Equino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199</xdr:row>
          <xdr:rowOff>7620</xdr:rowOff>
        </xdr:from>
        <xdr:to>
          <xdr:col>3</xdr:col>
          <xdr:colOff>723900</xdr:colOff>
          <xdr:row>200</xdr:row>
          <xdr:rowOff>60960</xdr:rowOff>
        </xdr:to>
        <xdr:sp macro="" textlink="">
          <xdr:nvSpPr>
            <xdr:cNvPr id="48159" name="Caixa de seleção 46" hidden="1">
              <a:extLst>
                <a:ext uri="{63B3BB69-23CF-44E3-9099-C40C66FF867C}">
                  <a14:compatExt spid="_x0000_s48159"/>
                </a:ext>
                <a:ext uri="{FF2B5EF4-FFF2-40B4-BE49-F238E27FC236}">
                  <a16:creationId xmlns:a16="http://schemas.microsoft.com/office/drawing/2014/main" id="{00000000-0008-0000-0500-00001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Em "S"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190</xdr:row>
          <xdr:rowOff>7620</xdr:rowOff>
        </xdr:from>
        <xdr:to>
          <xdr:col>3</xdr:col>
          <xdr:colOff>708660</xdr:colOff>
          <xdr:row>191</xdr:row>
          <xdr:rowOff>60960</xdr:rowOff>
        </xdr:to>
        <xdr:sp macro="" textlink="">
          <xdr:nvSpPr>
            <xdr:cNvPr id="48160" name="Caixa de seleção 65" hidden="1">
              <a:extLst>
                <a:ext uri="{63B3BB69-23CF-44E3-9099-C40C66FF867C}">
                  <a14:compatExt spid="_x0000_s48160"/>
                </a:ext>
                <a:ext uri="{FF2B5EF4-FFF2-40B4-BE49-F238E27FC236}">
                  <a16:creationId xmlns:a16="http://schemas.microsoft.com/office/drawing/2014/main" id="{00000000-0008-0000-0500-00002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189</xdr:row>
          <xdr:rowOff>7620</xdr:rowOff>
        </xdr:from>
        <xdr:to>
          <xdr:col>5</xdr:col>
          <xdr:colOff>99060</xdr:colOff>
          <xdr:row>190</xdr:row>
          <xdr:rowOff>60960</xdr:rowOff>
        </xdr:to>
        <xdr:sp macro="" textlink="">
          <xdr:nvSpPr>
            <xdr:cNvPr id="48161" name="Caixa de seleção 66" hidden="1">
              <a:extLst>
                <a:ext uri="{63B3BB69-23CF-44E3-9099-C40C66FF867C}">
                  <a14:compatExt spid="_x0000_s48161"/>
                </a:ext>
                <a:ext uri="{FF2B5EF4-FFF2-40B4-BE49-F238E27FC236}">
                  <a16:creationId xmlns:a16="http://schemas.microsoft.com/office/drawing/2014/main" id="{00000000-0008-0000-0500-00002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189</xdr:row>
          <xdr:rowOff>7620</xdr:rowOff>
        </xdr:from>
        <xdr:to>
          <xdr:col>7</xdr:col>
          <xdr:colOff>259080</xdr:colOff>
          <xdr:row>190</xdr:row>
          <xdr:rowOff>60960</xdr:rowOff>
        </xdr:to>
        <xdr:sp macro="" textlink="">
          <xdr:nvSpPr>
            <xdr:cNvPr id="48162" name="Caixa de seleção 67" hidden="1">
              <a:extLst>
                <a:ext uri="{63B3BB69-23CF-44E3-9099-C40C66FF867C}">
                  <a14:compatExt spid="_x0000_s48162"/>
                </a:ext>
                <a:ext uri="{FF2B5EF4-FFF2-40B4-BE49-F238E27FC236}">
                  <a16:creationId xmlns:a16="http://schemas.microsoft.com/office/drawing/2014/main" id="{00000000-0008-0000-0500-00002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Direito Deprimido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198</xdr:row>
          <xdr:rowOff>7620</xdr:rowOff>
        </xdr:from>
        <xdr:to>
          <xdr:col>5</xdr:col>
          <xdr:colOff>22860</xdr:colOff>
          <xdr:row>199</xdr:row>
          <xdr:rowOff>60960</xdr:rowOff>
        </xdr:to>
        <xdr:sp macro="" textlink="">
          <xdr:nvSpPr>
            <xdr:cNvPr id="48163" name="Caixa de seleção 69" hidden="1">
              <a:extLst>
                <a:ext uri="{63B3BB69-23CF-44E3-9099-C40C66FF867C}">
                  <a14:compatExt spid="_x0000_s48163"/>
                </a:ext>
                <a:ext uri="{FF2B5EF4-FFF2-40B4-BE49-F238E27FC236}">
                  <a16:creationId xmlns:a16="http://schemas.microsoft.com/office/drawing/2014/main" id="{00000000-0008-0000-0500-00002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198</xdr:row>
          <xdr:rowOff>7620</xdr:rowOff>
        </xdr:from>
        <xdr:to>
          <xdr:col>7</xdr:col>
          <xdr:colOff>83820</xdr:colOff>
          <xdr:row>199</xdr:row>
          <xdr:rowOff>60960</xdr:rowOff>
        </xdr:to>
        <xdr:sp macro="" textlink="">
          <xdr:nvSpPr>
            <xdr:cNvPr id="48164" name="Caixa de seleção 70" hidden="1">
              <a:extLst>
                <a:ext uri="{63B3BB69-23CF-44E3-9099-C40C66FF867C}">
                  <a14:compatExt spid="_x0000_s48164"/>
                </a:ext>
                <a:ext uri="{FF2B5EF4-FFF2-40B4-BE49-F238E27FC236}">
                  <a16:creationId xmlns:a16="http://schemas.microsoft.com/office/drawing/2014/main" id="{00000000-0008-0000-0500-00002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Escoliose Torácica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195</xdr:row>
          <xdr:rowOff>7620</xdr:rowOff>
        </xdr:from>
        <xdr:to>
          <xdr:col>3</xdr:col>
          <xdr:colOff>708660</xdr:colOff>
          <xdr:row>196</xdr:row>
          <xdr:rowOff>60960</xdr:rowOff>
        </xdr:to>
        <xdr:sp macro="" textlink="">
          <xdr:nvSpPr>
            <xdr:cNvPr id="48165" name="Caixa de seleção 71" hidden="1">
              <a:extLst>
                <a:ext uri="{63B3BB69-23CF-44E3-9099-C40C66FF867C}">
                  <a14:compatExt spid="_x0000_s48165"/>
                </a:ext>
                <a:ext uri="{FF2B5EF4-FFF2-40B4-BE49-F238E27FC236}">
                  <a16:creationId xmlns:a16="http://schemas.microsoft.com/office/drawing/2014/main" id="{00000000-0008-0000-0500-00002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Abduzida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193</xdr:row>
          <xdr:rowOff>7620</xdr:rowOff>
        </xdr:from>
        <xdr:to>
          <xdr:col>4</xdr:col>
          <xdr:colOff>137160</xdr:colOff>
          <xdr:row>194</xdr:row>
          <xdr:rowOff>60960</xdr:rowOff>
        </xdr:to>
        <xdr:sp macro="" textlink="">
          <xdr:nvSpPr>
            <xdr:cNvPr id="48166" name="Caixa de seleção 72" hidden="1">
              <a:extLst>
                <a:ext uri="{63B3BB69-23CF-44E3-9099-C40C66FF867C}">
                  <a14:compatExt spid="_x0000_s48166"/>
                </a:ext>
                <a:ext uri="{FF2B5EF4-FFF2-40B4-BE49-F238E27FC236}">
                  <a16:creationId xmlns:a16="http://schemas.microsoft.com/office/drawing/2014/main" id="{00000000-0008-0000-0500-00002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193</xdr:row>
          <xdr:rowOff>7620</xdr:rowOff>
        </xdr:from>
        <xdr:to>
          <xdr:col>5</xdr:col>
          <xdr:colOff>708660</xdr:colOff>
          <xdr:row>194</xdr:row>
          <xdr:rowOff>60960</xdr:rowOff>
        </xdr:to>
        <xdr:sp macro="" textlink="">
          <xdr:nvSpPr>
            <xdr:cNvPr id="48167" name="Caixa de seleção 73" hidden="1">
              <a:extLst>
                <a:ext uri="{63B3BB69-23CF-44E3-9099-C40C66FF867C}">
                  <a14:compatExt spid="_x0000_s48167"/>
                </a:ext>
                <a:ext uri="{FF2B5EF4-FFF2-40B4-BE49-F238E27FC236}">
                  <a16:creationId xmlns:a16="http://schemas.microsoft.com/office/drawing/2014/main" id="{00000000-0008-0000-0500-00002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Alada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194</xdr:row>
          <xdr:rowOff>7620</xdr:rowOff>
        </xdr:from>
        <xdr:to>
          <xdr:col>3</xdr:col>
          <xdr:colOff>975360</xdr:colOff>
          <xdr:row>195</xdr:row>
          <xdr:rowOff>60960</xdr:rowOff>
        </xdr:to>
        <xdr:sp macro="" textlink="">
          <xdr:nvSpPr>
            <xdr:cNvPr id="48168" name="Caixa de seleção 77" hidden="1">
              <a:extLst>
                <a:ext uri="{63B3BB69-23CF-44E3-9099-C40C66FF867C}">
                  <a14:compatExt spid="_x0000_s48168"/>
                </a:ext>
                <a:ext uri="{FF2B5EF4-FFF2-40B4-BE49-F238E27FC236}">
                  <a16:creationId xmlns:a16="http://schemas.microsoft.com/office/drawing/2014/main" id="{00000000-0008-0000-0500-00002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Inferior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194</xdr:row>
          <xdr:rowOff>7620</xdr:rowOff>
        </xdr:from>
        <xdr:to>
          <xdr:col>6</xdr:col>
          <xdr:colOff>99060</xdr:colOff>
          <xdr:row>195</xdr:row>
          <xdr:rowOff>60960</xdr:rowOff>
        </xdr:to>
        <xdr:sp macro="" textlink="">
          <xdr:nvSpPr>
            <xdr:cNvPr id="48169" name="Caixa de seleção 78" hidden="1">
              <a:extLst>
                <a:ext uri="{63B3BB69-23CF-44E3-9099-C40C66FF867C}">
                  <a14:compatExt spid="_x0000_s48169"/>
                </a:ext>
                <a:ext uri="{FF2B5EF4-FFF2-40B4-BE49-F238E27FC236}">
                  <a16:creationId xmlns:a16="http://schemas.microsoft.com/office/drawing/2014/main" id="{00000000-0008-0000-0500-00002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Rodada Superior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211</xdr:row>
          <xdr:rowOff>0</xdr:rowOff>
        </xdr:from>
        <xdr:to>
          <xdr:col>3</xdr:col>
          <xdr:colOff>708660</xdr:colOff>
          <xdr:row>212</xdr:row>
          <xdr:rowOff>60960</xdr:rowOff>
        </xdr:to>
        <xdr:sp macro="" textlink="">
          <xdr:nvSpPr>
            <xdr:cNvPr id="48170" name="Caixa de seleção 80" hidden="1">
              <a:extLst>
                <a:ext uri="{63B3BB69-23CF-44E3-9099-C40C66FF867C}">
                  <a14:compatExt spid="_x0000_s48170"/>
                </a:ext>
                <a:ext uri="{FF2B5EF4-FFF2-40B4-BE49-F238E27FC236}">
                  <a16:creationId xmlns:a16="http://schemas.microsoft.com/office/drawing/2014/main" id="{00000000-0008-0000-0500-00002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211</xdr:row>
          <xdr:rowOff>0</xdr:rowOff>
        </xdr:from>
        <xdr:to>
          <xdr:col>5</xdr:col>
          <xdr:colOff>685800</xdr:colOff>
          <xdr:row>212</xdr:row>
          <xdr:rowOff>60960</xdr:rowOff>
        </xdr:to>
        <xdr:sp macro="" textlink="">
          <xdr:nvSpPr>
            <xdr:cNvPr id="48171" name="Caixa de seleção 81" hidden="1">
              <a:extLst>
                <a:ext uri="{63B3BB69-23CF-44E3-9099-C40C66FF867C}">
                  <a14:compatExt spid="_x0000_s48171"/>
                </a:ext>
                <a:ext uri="{FF2B5EF4-FFF2-40B4-BE49-F238E27FC236}">
                  <a16:creationId xmlns:a16="http://schemas.microsoft.com/office/drawing/2014/main" id="{00000000-0008-0000-0500-00002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208</xdr:row>
          <xdr:rowOff>7620</xdr:rowOff>
        </xdr:from>
        <xdr:to>
          <xdr:col>3</xdr:col>
          <xdr:colOff>708660</xdr:colOff>
          <xdr:row>209</xdr:row>
          <xdr:rowOff>60960</xdr:rowOff>
        </xdr:to>
        <xdr:sp macro="" textlink="">
          <xdr:nvSpPr>
            <xdr:cNvPr id="48172" name="Caixa de seleção 83" hidden="1">
              <a:extLst>
                <a:ext uri="{63B3BB69-23CF-44E3-9099-C40C66FF867C}">
                  <a14:compatExt spid="_x0000_s48172"/>
                </a:ext>
                <a:ext uri="{FF2B5EF4-FFF2-40B4-BE49-F238E27FC236}">
                  <a16:creationId xmlns:a16="http://schemas.microsoft.com/office/drawing/2014/main" id="{00000000-0008-0000-0500-00002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208</xdr:row>
          <xdr:rowOff>7620</xdr:rowOff>
        </xdr:from>
        <xdr:to>
          <xdr:col>5</xdr:col>
          <xdr:colOff>685800</xdr:colOff>
          <xdr:row>209</xdr:row>
          <xdr:rowOff>60960</xdr:rowOff>
        </xdr:to>
        <xdr:sp macro="" textlink="">
          <xdr:nvSpPr>
            <xdr:cNvPr id="48173" name="Caixa de seleção 84" hidden="1">
              <a:extLst>
                <a:ext uri="{63B3BB69-23CF-44E3-9099-C40C66FF867C}">
                  <a14:compatExt spid="_x0000_s48173"/>
                </a:ext>
                <a:ext uri="{FF2B5EF4-FFF2-40B4-BE49-F238E27FC236}">
                  <a16:creationId xmlns:a16="http://schemas.microsoft.com/office/drawing/2014/main" id="{00000000-0008-0000-0500-00002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838200</xdr:colOff>
          <xdr:row>208</xdr:row>
          <xdr:rowOff>15240</xdr:rowOff>
        </xdr:from>
        <xdr:to>
          <xdr:col>7</xdr:col>
          <xdr:colOff>403860</xdr:colOff>
          <xdr:row>209</xdr:row>
          <xdr:rowOff>68580</xdr:rowOff>
        </xdr:to>
        <xdr:sp macro="" textlink="">
          <xdr:nvSpPr>
            <xdr:cNvPr id="48174" name="Caixa de seleção 85" hidden="1">
              <a:extLst>
                <a:ext uri="{63B3BB69-23CF-44E3-9099-C40C66FF867C}">
                  <a14:compatExt spid="_x0000_s48174"/>
                </a:ext>
                <a:ext uri="{FF2B5EF4-FFF2-40B4-BE49-F238E27FC236}">
                  <a16:creationId xmlns:a16="http://schemas.microsoft.com/office/drawing/2014/main" id="{00000000-0008-0000-0500-00002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189</xdr:row>
          <xdr:rowOff>7620</xdr:rowOff>
        </xdr:from>
        <xdr:to>
          <xdr:col>9</xdr:col>
          <xdr:colOff>708660</xdr:colOff>
          <xdr:row>190</xdr:row>
          <xdr:rowOff>60960</xdr:rowOff>
        </xdr:to>
        <xdr:sp macro="" textlink="">
          <xdr:nvSpPr>
            <xdr:cNvPr id="48175" name="Caixa de seleção 86" hidden="1">
              <a:extLst>
                <a:ext uri="{63B3BB69-23CF-44E3-9099-C40C66FF867C}">
                  <a14:compatExt spid="_x0000_s48175"/>
                </a:ext>
                <a:ext uri="{FF2B5EF4-FFF2-40B4-BE49-F238E27FC236}">
                  <a16:creationId xmlns:a16="http://schemas.microsoft.com/office/drawing/2014/main" id="{00000000-0008-0000-0500-00002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189</xdr:row>
          <xdr:rowOff>7620</xdr:rowOff>
        </xdr:from>
        <xdr:to>
          <xdr:col>11</xdr:col>
          <xdr:colOff>670560</xdr:colOff>
          <xdr:row>190</xdr:row>
          <xdr:rowOff>60960</xdr:rowOff>
        </xdr:to>
        <xdr:sp macro="" textlink="">
          <xdr:nvSpPr>
            <xdr:cNvPr id="48176" name="Caixa de seleção 87" hidden="1">
              <a:extLst>
                <a:ext uri="{63B3BB69-23CF-44E3-9099-C40C66FF867C}">
                  <a14:compatExt spid="_x0000_s48176"/>
                </a:ext>
                <a:ext uri="{FF2B5EF4-FFF2-40B4-BE49-F238E27FC236}">
                  <a16:creationId xmlns:a16="http://schemas.microsoft.com/office/drawing/2014/main" id="{00000000-0008-0000-0500-00003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198</xdr:row>
          <xdr:rowOff>167640</xdr:rowOff>
        </xdr:from>
        <xdr:to>
          <xdr:col>9</xdr:col>
          <xdr:colOff>693420</xdr:colOff>
          <xdr:row>200</xdr:row>
          <xdr:rowOff>60960</xdr:rowOff>
        </xdr:to>
        <xdr:sp macro="" textlink="">
          <xdr:nvSpPr>
            <xdr:cNvPr id="48177" name="Caixa de seleção 92" hidden="1">
              <a:extLst>
                <a:ext uri="{63B3BB69-23CF-44E3-9099-C40C66FF867C}">
                  <a14:compatExt spid="_x0000_s48177"/>
                </a:ext>
                <a:ext uri="{FF2B5EF4-FFF2-40B4-BE49-F238E27FC236}">
                  <a16:creationId xmlns:a16="http://schemas.microsoft.com/office/drawing/2014/main" id="{00000000-0008-0000-0500-00003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197</xdr:row>
          <xdr:rowOff>175260</xdr:rowOff>
        </xdr:from>
        <xdr:to>
          <xdr:col>9</xdr:col>
          <xdr:colOff>708660</xdr:colOff>
          <xdr:row>199</xdr:row>
          <xdr:rowOff>68580</xdr:rowOff>
        </xdr:to>
        <xdr:sp macro="" textlink="">
          <xdr:nvSpPr>
            <xdr:cNvPr id="48178" name="Caixa de seleção 93" hidden="1">
              <a:extLst>
                <a:ext uri="{63B3BB69-23CF-44E3-9099-C40C66FF867C}">
                  <a14:compatExt spid="_x0000_s48178"/>
                </a:ext>
                <a:ext uri="{FF2B5EF4-FFF2-40B4-BE49-F238E27FC236}">
                  <a16:creationId xmlns:a16="http://schemas.microsoft.com/office/drawing/2014/main" id="{00000000-0008-0000-0500-00003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197</xdr:row>
          <xdr:rowOff>175260</xdr:rowOff>
        </xdr:from>
        <xdr:to>
          <xdr:col>11</xdr:col>
          <xdr:colOff>693420</xdr:colOff>
          <xdr:row>199</xdr:row>
          <xdr:rowOff>68580</xdr:rowOff>
        </xdr:to>
        <xdr:sp macro="" textlink="">
          <xdr:nvSpPr>
            <xdr:cNvPr id="48179" name="Caixa de seleção 94" hidden="1">
              <a:extLst>
                <a:ext uri="{63B3BB69-23CF-44E3-9099-C40C66FF867C}">
                  <a14:compatExt spid="_x0000_s48179"/>
                </a:ext>
                <a:ext uri="{FF2B5EF4-FFF2-40B4-BE49-F238E27FC236}">
                  <a16:creationId xmlns:a16="http://schemas.microsoft.com/office/drawing/2014/main" id="{00000000-0008-0000-0500-00003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204</xdr:row>
          <xdr:rowOff>175260</xdr:rowOff>
        </xdr:from>
        <xdr:to>
          <xdr:col>9</xdr:col>
          <xdr:colOff>693420</xdr:colOff>
          <xdr:row>206</xdr:row>
          <xdr:rowOff>68580</xdr:rowOff>
        </xdr:to>
        <xdr:sp macro="" textlink="">
          <xdr:nvSpPr>
            <xdr:cNvPr id="48180" name="Caixa de seleção 95" hidden="1">
              <a:extLst>
                <a:ext uri="{63B3BB69-23CF-44E3-9099-C40C66FF867C}">
                  <a14:compatExt spid="_x0000_s48180"/>
                </a:ext>
                <a:ext uri="{FF2B5EF4-FFF2-40B4-BE49-F238E27FC236}">
                  <a16:creationId xmlns:a16="http://schemas.microsoft.com/office/drawing/2014/main" id="{00000000-0008-0000-0500-00003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203</xdr:row>
          <xdr:rowOff>175260</xdr:rowOff>
        </xdr:from>
        <xdr:to>
          <xdr:col>9</xdr:col>
          <xdr:colOff>708660</xdr:colOff>
          <xdr:row>205</xdr:row>
          <xdr:rowOff>68580</xdr:rowOff>
        </xdr:to>
        <xdr:sp macro="" textlink="">
          <xdr:nvSpPr>
            <xdr:cNvPr id="48181" name="Caixa de seleção 96" hidden="1">
              <a:extLst>
                <a:ext uri="{63B3BB69-23CF-44E3-9099-C40C66FF867C}">
                  <a14:compatExt spid="_x0000_s48181"/>
                </a:ext>
                <a:ext uri="{FF2B5EF4-FFF2-40B4-BE49-F238E27FC236}">
                  <a16:creationId xmlns:a16="http://schemas.microsoft.com/office/drawing/2014/main" id="{00000000-0008-0000-0500-00003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Lateralizada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203</xdr:row>
          <xdr:rowOff>175260</xdr:rowOff>
        </xdr:from>
        <xdr:to>
          <xdr:col>11</xdr:col>
          <xdr:colOff>693420</xdr:colOff>
          <xdr:row>205</xdr:row>
          <xdr:rowOff>68580</xdr:rowOff>
        </xdr:to>
        <xdr:sp macro="" textlink="">
          <xdr:nvSpPr>
            <xdr:cNvPr id="48182" name="Caixa de seleção 97" hidden="1">
              <a:extLst>
                <a:ext uri="{63B3BB69-23CF-44E3-9099-C40C66FF867C}">
                  <a14:compatExt spid="_x0000_s48182"/>
                </a:ext>
                <a:ext uri="{FF2B5EF4-FFF2-40B4-BE49-F238E27FC236}">
                  <a16:creationId xmlns:a16="http://schemas.microsoft.com/office/drawing/2014/main" id="{00000000-0008-0000-0500-00003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Medializada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193</xdr:row>
          <xdr:rowOff>175260</xdr:rowOff>
        </xdr:from>
        <xdr:to>
          <xdr:col>9</xdr:col>
          <xdr:colOff>693420</xdr:colOff>
          <xdr:row>195</xdr:row>
          <xdr:rowOff>68580</xdr:rowOff>
        </xdr:to>
        <xdr:sp macro="" textlink="">
          <xdr:nvSpPr>
            <xdr:cNvPr id="48183" name="Caixa de seleção 98" hidden="1">
              <a:extLst>
                <a:ext uri="{63B3BB69-23CF-44E3-9099-C40C66FF867C}">
                  <a14:compatExt spid="_x0000_s48183"/>
                </a:ext>
                <a:ext uri="{FF2B5EF4-FFF2-40B4-BE49-F238E27FC236}">
                  <a16:creationId xmlns:a16="http://schemas.microsoft.com/office/drawing/2014/main" id="{00000000-0008-0000-0500-00003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204</xdr:row>
          <xdr:rowOff>175260</xdr:rowOff>
        </xdr:from>
        <xdr:to>
          <xdr:col>3</xdr:col>
          <xdr:colOff>693420</xdr:colOff>
          <xdr:row>206</xdr:row>
          <xdr:rowOff>68580</xdr:rowOff>
        </xdr:to>
        <xdr:sp macro="" textlink="">
          <xdr:nvSpPr>
            <xdr:cNvPr id="48184" name="Caixa de seleção 104" hidden="1">
              <a:extLst>
                <a:ext uri="{63B3BB69-23CF-44E3-9099-C40C66FF867C}">
                  <a14:compatExt spid="_x0000_s48184"/>
                </a:ext>
                <a:ext uri="{FF2B5EF4-FFF2-40B4-BE49-F238E27FC236}">
                  <a16:creationId xmlns:a16="http://schemas.microsoft.com/office/drawing/2014/main" id="{00000000-0008-0000-0500-00003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129540</xdr:colOff>
          <xdr:row>203</xdr:row>
          <xdr:rowOff>175260</xdr:rowOff>
        </xdr:from>
        <xdr:to>
          <xdr:col>7</xdr:col>
          <xdr:colOff>7620</xdr:colOff>
          <xdr:row>205</xdr:row>
          <xdr:rowOff>68580</xdr:rowOff>
        </xdr:to>
        <xdr:sp macro="" textlink="">
          <xdr:nvSpPr>
            <xdr:cNvPr id="48185" name="Caixa de seleção 105" hidden="1">
              <a:extLst>
                <a:ext uri="{63B3BB69-23CF-44E3-9099-C40C66FF867C}">
                  <a14:compatExt spid="_x0000_s48185"/>
                </a:ext>
                <a:ext uri="{FF2B5EF4-FFF2-40B4-BE49-F238E27FC236}">
                  <a16:creationId xmlns:a16="http://schemas.microsoft.com/office/drawing/2014/main" id="{00000000-0008-0000-0500-00003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203</xdr:row>
          <xdr:rowOff>175260</xdr:rowOff>
        </xdr:from>
        <xdr:to>
          <xdr:col>4</xdr:col>
          <xdr:colOff>144780</xdr:colOff>
          <xdr:row>205</xdr:row>
          <xdr:rowOff>68580</xdr:rowOff>
        </xdr:to>
        <xdr:sp macro="" textlink="">
          <xdr:nvSpPr>
            <xdr:cNvPr id="48186" name="Caixa de seleção 106" hidden="1">
              <a:extLst>
                <a:ext uri="{63B3BB69-23CF-44E3-9099-C40C66FF867C}">
                  <a14:compatExt spid="_x0000_s48186"/>
                </a:ext>
                <a:ext uri="{FF2B5EF4-FFF2-40B4-BE49-F238E27FC236}">
                  <a16:creationId xmlns:a16="http://schemas.microsoft.com/office/drawing/2014/main" id="{00000000-0008-0000-0500-00003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237320</xdr:colOff>
      <xdr:row>0</xdr:row>
      <xdr:rowOff>12213</xdr:rowOff>
    </xdr:from>
    <xdr:to>
      <xdr:col>16</xdr:col>
      <xdr:colOff>0</xdr:colOff>
      <xdr:row>5</xdr:row>
      <xdr:rowOff>79323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58800" y="12213"/>
          <a:ext cx="3572680" cy="1019610"/>
        </a:xfrm>
        <a:prstGeom prst="rect">
          <a:avLst/>
        </a:prstGeom>
      </xdr:spPr>
    </xdr:pic>
    <xdr:clientData/>
  </xdr:twoCellAnchor>
  <xdr:twoCellAnchor>
    <xdr:from>
      <xdr:col>86</xdr:col>
      <xdr:colOff>47625</xdr:colOff>
      <xdr:row>32</xdr:row>
      <xdr:rowOff>47625</xdr:rowOff>
    </xdr:from>
    <xdr:to>
      <xdr:col>88</xdr:col>
      <xdr:colOff>104775</xdr:colOff>
      <xdr:row>34</xdr:row>
      <xdr:rowOff>152399</xdr:rowOff>
    </xdr:to>
    <xdr:sp macro="" textlink="">
      <xdr:nvSpPr>
        <xdr:cNvPr id="92" name="Fluxograma: Processo alternativ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8138160" y="566356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xdr:twoCellAnchor>
    <xdr:from>
      <xdr:col>126</xdr:col>
      <xdr:colOff>152400</xdr:colOff>
      <xdr:row>11</xdr:row>
      <xdr:rowOff>185736</xdr:rowOff>
    </xdr:from>
    <xdr:to>
      <xdr:col>133</xdr:col>
      <xdr:colOff>962025</xdr:colOff>
      <xdr:row>24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142</xdr:col>
      <xdr:colOff>390524</xdr:colOff>
      <xdr:row>19</xdr:row>
      <xdr:rowOff>109537</xdr:rowOff>
    </xdr:from>
    <xdr:to>
      <xdr:col>150</xdr:col>
      <xdr:colOff>28575</xdr:colOff>
      <xdr:row>41</xdr:row>
      <xdr:rowOff>76200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132</xdr:col>
      <xdr:colOff>57150</xdr:colOff>
      <xdr:row>29</xdr:row>
      <xdr:rowOff>47625</xdr:rowOff>
    </xdr:from>
    <xdr:to>
      <xdr:col>134</xdr:col>
      <xdr:colOff>114300</xdr:colOff>
      <xdr:row>31</xdr:row>
      <xdr:rowOff>152399</xdr:rowOff>
    </xdr:to>
    <xdr:sp macro="" textlink="">
      <xdr:nvSpPr>
        <xdr:cNvPr id="95" name="Fluxograma: Processo alternativ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/>
      </xdr:nvSpPr>
      <xdr:spPr>
        <a:xfrm>
          <a:off x="8138160" y="5114925"/>
          <a:ext cx="0" cy="470534"/>
        </a:xfrm>
        <a:prstGeom prst="flowChartAlternateProcess">
          <a:avLst/>
        </a:prstGeom>
        <a:solidFill>
          <a:srgbClr val="00B0F0"/>
        </a:solidFill>
        <a:ln>
          <a:solidFill>
            <a:srgbClr val="00B0F0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Pronto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47</xdr:row>
          <xdr:rowOff>175260</xdr:rowOff>
        </xdr:from>
        <xdr:to>
          <xdr:col>13</xdr:col>
          <xdr:colOff>495300</xdr:colOff>
          <xdr:row>49</xdr:row>
          <xdr:rowOff>0</xdr:rowOff>
        </xdr:to>
        <xdr:sp macro="" textlink="">
          <xdr:nvSpPr>
            <xdr:cNvPr id="48187" name="Check Box 59" hidden="1">
              <a:extLst>
                <a:ext uri="{63B3BB69-23CF-44E3-9099-C40C66FF867C}">
                  <a14:compatExt spid="_x0000_s48187"/>
                </a:ext>
                <a:ext uri="{FF2B5EF4-FFF2-40B4-BE49-F238E27FC236}">
                  <a16:creationId xmlns:a16="http://schemas.microsoft.com/office/drawing/2014/main" id="{00000000-0008-0000-0500-00003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47</xdr:row>
          <xdr:rowOff>175260</xdr:rowOff>
        </xdr:from>
        <xdr:to>
          <xdr:col>14</xdr:col>
          <xdr:colOff>0</xdr:colOff>
          <xdr:row>49</xdr:row>
          <xdr:rowOff>38100</xdr:rowOff>
        </xdr:to>
        <xdr:sp macro="" textlink="">
          <xdr:nvSpPr>
            <xdr:cNvPr id="48188" name="Check Box 60" hidden="1">
              <a:extLst>
                <a:ext uri="{63B3BB69-23CF-44E3-9099-C40C66FF867C}">
                  <a14:compatExt spid="_x0000_s48188"/>
                </a:ext>
                <a:ext uri="{FF2B5EF4-FFF2-40B4-BE49-F238E27FC236}">
                  <a16:creationId xmlns:a16="http://schemas.microsoft.com/office/drawing/2014/main" id="{00000000-0008-0000-0500-00003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53340</xdr:rowOff>
        </xdr:from>
        <xdr:to>
          <xdr:col>13</xdr:col>
          <xdr:colOff>495300</xdr:colOff>
          <xdr:row>52</xdr:row>
          <xdr:rowOff>38100</xdr:rowOff>
        </xdr:to>
        <xdr:sp macro="" textlink="">
          <xdr:nvSpPr>
            <xdr:cNvPr id="48189" name="Check Box 61" hidden="1">
              <a:extLst>
                <a:ext uri="{63B3BB69-23CF-44E3-9099-C40C66FF867C}">
                  <a14:compatExt spid="_x0000_s48189"/>
                </a:ext>
                <a:ext uri="{FF2B5EF4-FFF2-40B4-BE49-F238E27FC236}">
                  <a16:creationId xmlns:a16="http://schemas.microsoft.com/office/drawing/2014/main" id="{00000000-0008-0000-0500-00003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50</xdr:row>
          <xdr:rowOff>53340</xdr:rowOff>
        </xdr:from>
        <xdr:to>
          <xdr:col>14</xdr:col>
          <xdr:colOff>0</xdr:colOff>
          <xdr:row>52</xdr:row>
          <xdr:rowOff>38100</xdr:rowOff>
        </xdr:to>
        <xdr:sp macro="" textlink="">
          <xdr:nvSpPr>
            <xdr:cNvPr id="48190" name="Check Box 62" hidden="1">
              <a:extLst>
                <a:ext uri="{63B3BB69-23CF-44E3-9099-C40C66FF867C}">
                  <a14:compatExt spid="_x0000_s48190"/>
                </a:ext>
                <a:ext uri="{FF2B5EF4-FFF2-40B4-BE49-F238E27FC236}">
                  <a16:creationId xmlns:a16="http://schemas.microsoft.com/office/drawing/2014/main" id="{00000000-0008-0000-0500-00003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45720</xdr:rowOff>
        </xdr:from>
        <xdr:to>
          <xdr:col>13</xdr:col>
          <xdr:colOff>495300</xdr:colOff>
          <xdr:row>54</xdr:row>
          <xdr:rowOff>38100</xdr:rowOff>
        </xdr:to>
        <xdr:sp macro="" textlink="">
          <xdr:nvSpPr>
            <xdr:cNvPr id="48191" name="Check Box 63" hidden="1">
              <a:extLst>
                <a:ext uri="{63B3BB69-23CF-44E3-9099-C40C66FF867C}">
                  <a14:compatExt spid="_x0000_s48191"/>
                </a:ext>
                <a:ext uri="{FF2B5EF4-FFF2-40B4-BE49-F238E27FC236}">
                  <a16:creationId xmlns:a16="http://schemas.microsoft.com/office/drawing/2014/main" id="{00000000-0008-0000-0500-00003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52</xdr:row>
          <xdr:rowOff>45720</xdr:rowOff>
        </xdr:from>
        <xdr:to>
          <xdr:col>14</xdr:col>
          <xdr:colOff>0</xdr:colOff>
          <xdr:row>54</xdr:row>
          <xdr:rowOff>38100</xdr:rowOff>
        </xdr:to>
        <xdr:sp macro="" textlink="">
          <xdr:nvSpPr>
            <xdr:cNvPr id="48192" name="Check Box 64" hidden="1">
              <a:extLst>
                <a:ext uri="{63B3BB69-23CF-44E3-9099-C40C66FF867C}">
                  <a14:compatExt spid="_x0000_s48192"/>
                </a:ext>
                <a:ext uri="{FF2B5EF4-FFF2-40B4-BE49-F238E27FC236}">
                  <a16:creationId xmlns:a16="http://schemas.microsoft.com/office/drawing/2014/main" id="{00000000-0008-0000-0500-00004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54</xdr:row>
          <xdr:rowOff>53340</xdr:rowOff>
        </xdr:from>
        <xdr:to>
          <xdr:col>13</xdr:col>
          <xdr:colOff>495300</xdr:colOff>
          <xdr:row>56</xdr:row>
          <xdr:rowOff>0</xdr:rowOff>
        </xdr:to>
        <xdr:sp macro="" textlink="">
          <xdr:nvSpPr>
            <xdr:cNvPr id="48193" name="Check Box 65" hidden="1">
              <a:extLst>
                <a:ext uri="{63B3BB69-23CF-44E3-9099-C40C66FF867C}">
                  <a14:compatExt spid="_x0000_s48193"/>
                </a:ext>
                <a:ext uri="{FF2B5EF4-FFF2-40B4-BE49-F238E27FC236}">
                  <a16:creationId xmlns:a16="http://schemas.microsoft.com/office/drawing/2014/main" id="{00000000-0008-0000-0500-00004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54</xdr:row>
          <xdr:rowOff>53340</xdr:rowOff>
        </xdr:from>
        <xdr:to>
          <xdr:col>14</xdr:col>
          <xdr:colOff>0</xdr:colOff>
          <xdr:row>56</xdr:row>
          <xdr:rowOff>38100</xdr:rowOff>
        </xdr:to>
        <xdr:sp macro="" textlink="">
          <xdr:nvSpPr>
            <xdr:cNvPr id="48194" name="Check Box 66" hidden="1">
              <a:extLst>
                <a:ext uri="{63B3BB69-23CF-44E3-9099-C40C66FF867C}">
                  <a14:compatExt spid="_x0000_s48194"/>
                </a:ext>
                <a:ext uri="{FF2B5EF4-FFF2-40B4-BE49-F238E27FC236}">
                  <a16:creationId xmlns:a16="http://schemas.microsoft.com/office/drawing/2014/main" id="{00000000-0008-0000-0500-00004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56</xdr:row>
          <xdr:rowOff>53340</xdr:rowOff>
        </xdr:from>
        <xdr:to>
          <xdr:col>13</xdr:col>
          <xdr:colOff>495300</xdr:colOff>
          <xdr:row>58</xdr:row>
          <xdr:rowOff>38100</xdr:rowOff>
        </xdr:to>
        <xdr:sp macro="" textlink="">
          <xdr:nvSpPr>
            <xdr:cNvPr id="48195" name="Check Box 67" hidden="1">
              <a:extLst>
                <a:ext uri="{63B3BB69-23CF-44E3-9099-C40C66FF867C}">
                  <a14:compatExt spid="_x0000_s48195"/>
                </a:ext>
                <a:ext uri="{FF2B5EF4-FFF2-40B4-BE49-F238E27FC236}">
                  <a16:creationId xmlns:a16="http://schemas.microsoft.com/office/drawing/2014/main" id="{00000000-0008-0000-0500-00004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56</xdr:row>
          <xdr:rowOff>53340</xdr:rowOff>
        </xdr:from>
        <xdr:to>
          <xdr:col>14</xdr:col>
          <xdr:colOff>0</xdr:colOff>
          <xdr:row>58</xdr:row>
          <xdr:rowOff>38100</xdr:rowOff>
        </xdr:to>
        <xdr:sp macro="" textlink="">
          <xdr:nvSpPr>
            <xdr:cNvPr id="48196" name="Check Box 68" hidden="1">
              <a:extLst>
                <a:ext uri="{63B3BB69-23CF-44E3-9099-C40C66FF867C}">
                  <a14:compatExt spid="_x0000_s48196"/>
                </a:ext>
                <a:ext uri="{FF2B5EF4-FFF2-40B4-BE49-F238E27FC236}">
                  <a16:creationId xmlns:a16="http://schemas.microsoft.com/office/drawing/2014/main" id="{00000000-0008-0000-0500-00004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59</xdr:row>
          <xdr:rowOff>53340</xdr:rowOff>
        </xdr:from>
        <xdr:to>
          <xdr:col>13</xdr:col>
          <xdr:colOff>495300</xdr:colOff>
          <xdr:row>61</xdr:row>
          <xdr:rowOff>0</xdr:rowOff>
        </xdr:to>
        <xdr:sp macro="" textlink="">
          <xdr:nvSpPr>
            <xdr:cNvPr id="48197" name="Check Box 69" hidden="1">
              <a:extLst>
                <a:ext uri="{63B3BB69-23CF-44E3-9099-C40C66FF867C}">
                  <a14:compatExt spid="_x0000_s48197"/>
                </a:ext>
                <a:ext uri="{FF2B5EF4-FFF2-40B4-BE49-F238E27FC236}">
                  <a16:creationId xmlns:a16="http://schemas.microsoft.com/office/drawing/2014/main" id="{00000000-0008-0000-0500-00004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59</xdr:row>
          <xdr:rowOff>53340</xdr:rowOff>
        </xdr:from>
        <xdr:to>
          <xdr:col>14</xdr:col>
          <xdr:colOff>0</xdr:colOff>
          <xdr:row>61</xdr:row>
          <xdr:rowOff>38100</xdr:rowOff>
        </xdr:to>
        <xdr:sp macro="" textlink="">
          <xdr:nvSpPr>
            <xdr:cNvPr id="48198" name="Check Box 70" hidden="1">
              <a:extLst>
                <a:ext uri="{63B3BB69-23CF-44E3-9099-C40C66FF867C}">
                  <a14:compatExt spid="_x0000_s48198"/>
                </a:ext>
                <a:ext uri="{FF2B5EF4-FFF2-40B4-BE49-F238E27FC236}">
                  <a16:creationId xmlns:a16="http://schemas.microsoft.com/office/drawing/2014/main" id="{00000000-0008-0000-0500-00004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62</xdr:row>
          <xdr:rowOff>53340</xdr:rowOff>
        </xdr:from>
        <xdr:to>
          <xdr:col>13</xdr:col>
          <xdr:colOff>495300</xdr:colOff>
          <xdr:row>64</xdr:row>
          <xdr:rowOff>38100</xdr:rowOff>
        </xdr:to>
        <xdr:sp macro="" textlink="">
          <xdr:nvSpPr>
            <xdr:cNvPr id="48199" name="Check Box 71" hidden="1">
              <a:extLst>
                <a:ext uri="{63B3BB69-23CF-44E3-9099-C40C66FF867C}">
                  <a14:compatExt spid="_x0000_s48199"/>
                </a:ext>
                <a:ext uri="{FF2B5EF4-FFF2-40B4-BE49-F238E27FC236}">
                  <a16:creationId xmlns:a16="http://schemas.microsoft.com/office/drawing/2014/main" id="{00000000-0008-0000-0500-00004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327660</xdr:colOff>
          <xdr:row>62</xdr:row>
          <xdr:rowOff>53340</xdr:rowOff>
        </xdr:from>
        <xdr:to>
          <xdr:col>14</xdr:col>
          <xdr:colOff>0</xdr:colOff>
          <xdr:row>64</xdr:row>
          <xdr:rowOff>38100</xdr:rowOff>
        </xdr:to>
        <xdr:sp macro="" textlink="">
          <xdr:nvSpPr>
            <xdr:cNvPr id="48200" name="Check Box 72" hidden="1">
              <a:extLst>
                <a:ext uri="{63B3BB69-23CF-44E3-9099-C40C66FF867C}">
                  <a14:compatExt spid="_x0000_s48200"/>
                </a:ext>
                <a:ext uri="{FF2B5EF4-FFF2-40B4-BE49-F238E27FC236}">
                  <a16:creationId xmlns:a16="http://schemas.microsoft.com/office/drawing/2014/main" id="{00000000-0008-0000-0500-00004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NÃO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938348</xdr:colOff>
      <xdr:row>102</xdr:row>
      <xdr:rowOff>22859</xdr:rowOff>
    </xdr:from>
    <xdr:to>
      <xdr:col>16</xdr:col>
      <xdr:colOff>76195</xdr:colOff>
      <xdr:row>114</xdr:row>
      <xdr:rowOff>34013</xdr:rowOff>
    </xdr:to>
    <xdr:grpSp>
      <xdr:nvGrpSpPr>
        <xdr:cNvPr id="110" name="Agrupar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GrpSpPr/>
      </xdr:nvGrpSpPr>
      <xdr:grpSpPr>
        <a:xfrm>
          <a:off x="5157923" y="17491709"/>
          <a:ext cx="2957372" cy="2182854"/>
          <a:chOff x="5249487" y="17791734"/>
          <a:chExt cx="3245645" cy="2365535"/>
        </a:xfrm>
      </xdr:grpSpPr>
      <xdr:grpSp>
        <xdr:nvGrpSpPr>
          <xdr:cNvPr id="111" name="Grupo 1">
            <a:extLst>
              <a:ext uri="{FF2B5EF4-FFF2-40B4-BE49-F238E27FC236}">
                <a16:creationId xmlns:a16="http://schemas.microsoft.com/office/drawing/2014/main" id="{00000000-0008-0000-0500-00006F000000}"/>
              </a:ext>
            </a:extLst>
          </xdr:cNvPr>
          <xdr:cNvGrpSpPr/>
        </xdr:nvGrpSpPr>
        <xdr:grpSpPr>
          <a:xfrm>
            <a:off x="5358607" y="17791734"/>
            <a:ext cx="3136525" cy="2365535"/>
            <a:chOff x="12007892" y="28838754"/>
            <a:chExt cx="3028012" cy="2412519"/>
          </a:xfrm>
        </xdr:grpSpPr>
        <xdr:pic>
          <xdr:nvPicPr>
            <xdr:cNvPr id="116" name="Imagem 2" descr="ist2_426832_human_anatomy_male_muscles.jpg">
              <a:extLst>
                <a:ext uri="{FF2B5EF4-FFF2-40B4-BE49-F238E27FC236}">
                  <a16:creationId xmlns:a16="http://schemas.microsoft.com/office/drawing/2014/main" id="{00000000-0008-0000-0500-00007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clrChange>
                <a:clrFrom>
                  <a:srgbClr val="F8F8F8"/>
                </a:clrFrom>
                <a:clrTo>
                  <a:srgbClr val="F8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48386" y="28967655"/>
              <a:ext cx="2595563" cy="2283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500-000075000000}"/>
                </a:ext>
              </a:extLst>
            </xdr:cNvPr>
            <xdr:cNvSpPr txBox="1"/>
          </xdr:nvSpPr>
          <xdr:spPr>
            <a:xfrm>
              <a:off x="12007892" y="28838754"/>
              <a:ext cx="759619" cy="2405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Peitoral</a:t>
              </a:r>
            </a:p>
          </xdr:txBody>
        </xdr:sp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500-000076000000}"/>
                </a:ext>
              </a:extLst>
            </xdr:cNvPr>
            <xdr:cNvSpPr txBox="1"/>
          </xdr:nvSpPr>
          <xdr:spPr>
            <a:xfrm>
              <a:off x="13051520" y="29284247"/>
              <a:ext cx="805957" cy="1545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Abdominal</a:t>
              </a:r>
            </a:p>
          </xdr:txBody>
        </xdr:sp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500-000077000000}"/>
                </a:ext>
              </a:extLst>
            </xdr:cNvPr>
            <xdr:cNvSpPr txBox="1"/>
          </xdr:nvSpPr>
          <xdr:spPr>
            <a:xfrm>
              <a:off x="12100761" y="30327349"/>
              <a:ext cx="528638" cy="190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Coxa</a:t>
              </a:r>
            </a:p>
          </xdr:txBody>
        </xdr:sp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500-000078000000}"/>
                </a:ext>
              </a:extLst>
            </xdr:cNvPr>
            <xdr:cNvSpPr txBox="1"/>
          </xdr:nvSpPr>
          <xdr:spPr>
            <a:xfrm>
              <a:off x="14331991" y="29274836"/>
              <a:ext cx="631016" cy="2056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Tríceps</a:t>
              </a:r>
            </a:p>
          </xdr:txBody>
        </xdr:sp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500-000079000000}"/>
                </a:ext>
              </a:extLst>
            </xdr:cNvPr>
            <xdr:cNvSpPr txBox="1"/>
          </xdr:nvSpPr>
          <xdr:spPr>
            <a:xfrm>
              <a:off x="14081961" y="28900980"/>
              <a:ext cx="953943" cy="2628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Subescapular</a:t>
              </a:r>
            </a:p>
          </xdr:txBody>
        </xdr:sp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500-00007A000000}"/>
                </a:ext>
              </a:extLst>
            </xdr:cNvPr>
            <xdr:cNvSpPr txBox="1"/>
          </xdr:nvSpPr>
          <xdr:spPr>
            <a:xfrm rot="17626162">
              <a:off x="11849474" y="29464643"/>
              <a:ext cx="802469" cy="3413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Supra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ilíaca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3" name="Conector de seta reta 44">
              <a:extLst>
                <a:ext uri="{FF2B5EF4-FFF2-40B4-BE49-F238E27FC236}">
                  <a16:creationId xmlns:a16="http://schemas.microsoft.com/office/drawing/2014/main" id="{00000000-0008-0000-0500-00007B000000}"/>
                </a:ext>
              </a:extLst>
            </xdr:cNvPr>
            <xdr:cNvCxnSpPr>
              <a:stCxn id="121" idx="2"/>
            </xdr:cNvCxnSpPr>
          </xdr:nvCxnSpPr>
          <xdr:spPr>
            <a:xfrm flipH="1">
              <a:off x="14158162" y="29163795"/>
              <a:ext cx="400771" cy="42774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4" name="Conector de seta reta 45">
              <a:extLst>
                <a:ext uri="{FF2B5EF4-FFF2-40B4-BE49-F238E27FC236}">
                  <a16:creationId xmlns:a16="http://schemas.microsoft.com/office/drawing/2014/main" id="{00000000-0008-0000-0500-00007C000000}"/>
                </a:ext>
              </a:extLst>
            </xdr:cNvPr>
            <xdr:cNvCxnSpPr>
              <a:stCxn id="120" idx="2"/>
            </xdr:cNvCxnSpPr>
          </xdr:nvCxnSpPr>
          <xdr:spPr>
            <a:xfrm flipH="1">
              <a:off x="14360568" y="29480504"/>
              <a:ext cx="286932" cy="111038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5" name="Conector de seta reta 47">
              <a:extLst>
                <a:ext uri="{FF2B5EF4-FFF2-40B4-BE49-F238E27FC236}">
                  <a16:creationId xmlns:a16="http://schemas.microsoft.com/office/drawing/2014/main" id="{00000000-0008-0000-0500-00007D000000}"/>
                </a:ext>
              </a:extLst>
            </xdr:cNvPr>
            <xdr:cNvCxnSpPr>
              <a:stCxn id="119" idx="0"/>
            </xdr:cNvCxnSpPr>
          </xdr:nvCxnSpPr>
          <xdr:spPr>
            <a:xfrm rot="5400000" flipH="1" flipV="1">
              <a:off x="12492476" y="30133277"/>
              <a:ext cx="66676" cy="32146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6" name="Conector de seta reta 49">
              <a:extLst>
                <a:ext uri="{FF2B5EF4-FFF2-40B4-BE49-F238E27FC236}">
                  <a16:creationId xmlns:a16="http://schemas.microsoft.com/office/drawing/2014/main" id="{00000000-0008-0000-0500-00007E000000}"/>
                </a:ext>
              </a:extLst>
            </xdr:cNvPr>
            <xdr:cNvCxnSpPr/>
          </xdr:nvCxnSpPr>
          <xdr:spPr>
            <a:xfrm>
              <a:off x="12369997" y="29758122"/>
              <a:ext cx="313947" cy="13810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7" name="Conector de seta reta 50">
              <a:extLst>
                <a:ext uri="{FF2B5EF4-FFF2-40B4-BE49-F238E27FC236}">
                  <a16:creationId xmlns:a16="http://schemas.microsoft.com/office/drawing/2014/main" id="{00000000-0008-0000-0500-00007F000000}"/>
                </a:ext>
              </a:extLst>
            </xdr:cNvPr>
            <xdr:cNvCxnSpPr/>
          </xdr:nvCxnSpPr>
          <xdr:spPr>
            <a:xfrm flipH="1">
              <a:off x="12809848" y="29514787"/>
              <a:ext cx="458897" cy="321742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8" name="Conector de seta reta 51">
              <a:extLst>
                <a:ext uri="{FF2B5EF4-FFF2-40B4-BE49-F238E27FC236}">
                  <a16:creationId xmlns:a16="http://schemas.microsoft.com/office/drawing/2014/main" id="{00000000-0008-0000-0500-000080000000}"/>
                </a:ext>
              </a:extLst>
            </xdr:cNvPr>
            <xdr:cNvCxnSpPr/>
          </xdr:nvCxnSpPr>
          <xdr:spPr>
            <a:xfrm flipH="1">
              <a:off x="12697251" y="29208160"/>
              <a:ext cx="565561" cy="398401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9" name="Conector de seta reta 52">
              <a:extLst>
                <a:ext uri="{FF2B5EF4-FFF2-40B4-BE49-F238E27FC236}">
                  <a16:creationId xmlns:a16="http://schemas.microsoft.com/office/drawing/2014/main" id="{00000000-0008-0000-0500-000081000000}"/>
                </a:ext>
              </a:extLst>
            </xdr:cNvPr>
            <xdr:cNvCxnSpPr/>
          </xdr:nvCxnSpPr>
          <xdr:spPr>
            <a:xfrm>
              <a:off x="12375896" y="29055422"/>
              <a:ext cx="306342" cy="432189"/>
            </a:xfrm>
            <a:prstGeom prst="straightConnector1">
              <a:avLst/>
            </a:prstGeom>
            <a:ln>
              <a:tailEnd type="arrow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30" name="CaixaDeTexto 129">
              <a:extLst>
                <a:ext uri="{FF2B5EF4-FFF2-40B4-BE49-F238E27FC236}">
                  <a16:creationId xmlns:a16="http://schemas.microsoft.com/office/drawing/2014/main" id="{00000000-0008-0000-0500-000082000000}"/>
                </a:ext>
              </a:extLst>
            </xdr:cNvPr>
            <xdr:cNvSpPr txBox="1"/>
          </xdr:nvSpPr>
          <xdr:spPr>
            <a:xfrm>
              <a:off x="13065745" y="28855423"/>
              <a:ext cx="835819" cy="3656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/>
            <a:p>
              <a:r>
                <a:rPr lang="pt-BR" sz="900">
                  <a:latin typeface="Arial" pitchFamily="34" charset="0"/>
                  <a:cs typeface="Arial" pitchFamily="34" charset="0"/>
                </a:rPr>
                <a:t>Axilar</a:t>
              </a:r>
              <a:r>
                <a:rPr lang="pt-BR" sz="900" baseline="0">
                  <a:latin typeface="Arial" pitchFamily="34" charset="0"/>
                  <a:cs typeface="Arial" pitchFamily="34" charset="0"/>
                </a:rPr>
                <a:t> média</a:t>
              </a:r>
              <a:endParaRPr lang="pt-BR" sz="900">
                <a:latin typeface="Arial" pitchFamily="34" charset="0"/>
                <a:cs typeface="Arial" pitchFamily="34" charset="0"/>
              </a:endParaRPr>
            </a:p>
          </xdr:txBody>
        </xdr:sp>
      </xdr:grpSp>
      <xdr:cxnSp macro="">
        <xdr:nvCxnSpPr>
          <xdr:cNvPr id="112" name="Conector de seta reta 47">
            <a:extLst>
              <a:ext uri="{FF2B5EF4-FFF2-40B4-BE49-F238E27FC236}">
                <a16:creationId xmlns:a16="http://schemas.microsoft.com/office/drawing/2014/main" id="{00000000-0008-0000-0500-000070000000}"/>
              </a:ext>
            </a:extLst>
          </xdr:cNvPr>
          <xdr:cNvCxnSpPr/>
        </xdr:nvCxnSpPr>
        <xdr:spPr>
          <a:xfrm flipH="1">
            <a:off x="6088224" y="19508755"/>
            <a:ext cx="575388" cy="202163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3" name="CaixaDeTexto 112">
            <a:extLst>
              <a:ext uri="{FF2B5EF4-FFF2-40B4-BE49-F238E27FC236}">
                <a16:creationId xmlns:a16="http://schemas.microsoft.com/office/drawing/2014/main" id="{00000000-0008-0000-0500-000071000000}"/>
              </a:ext>
            </a:extLst>
          </xdr:cNvPr>
          <xdr:cNvSpPr txBox="1"/>
        </xdr:nvSpPr>
        <xdr:spPr>
          <a:xfrm>
            <a:off x="6431412" y="19267075"/>
            <a:ext cx="865772" cy="137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Panturrilha</a:t>
            </a:r>
          </a:p>
        </xdr:txBody>
      </xdr:sp>
      <xdr:cxnSp macro="">
        <xdr:nvCxnSpPr>
          <xdr:cNvPr id="114" name="Conector de seta reta 52">
            <a:extLst>
              <a:ext uri="{FF2B5EF4-FFF2-40B4-BE49-F238E27FC236}">
                <a16:creationId xmlns:a16="http://schemas.microsoft.com/office/drawing/2014/main" id="{00000000-0008-0000-0500-000072000000}"/>
              </a:ext>
            </a:extLst>
          </xdr:cNvPr>
          <xdr:cNvCxnSpPr/>
        </xdr:nvCxnSpPr>
        <xdr:spPr>
          <a:xfrm>
            <a:off x="5722776" y="18272449"/>
            <a:ext cx="224279" cy="286285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5" name="CaixaDeTexto 114">
            <a:extLst>
              <a:ext uri="{FF2B5EF4-FFF2-40B4-BE49-F238E27FC236}">
                <a16:creationId xmlns:a16="http://schemas.microsoft.com/office/drawing/2014/main" id="{00000000-0008-0000-0500-000073000000}"/>
              </a:ext>
            </a:extLst>
          </xdr:cNvPr>
          <xdr:cNvSpPr txBox="1"/>
        </xdr:nvSpPr>
        <xdr:spPr>
          <a:xfrm>
            <a:off x="5249487" y="18100992"/>
            <a:ext cx="786841" cy="23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pt-BR" sz="900">
                <a:latin typeface="Arial" pitchFamily="34" charset="0"/>
                <a:cs typeface="Arial" pitchFamily="34" charset="0"/>
              </a:rPr>
              <a:t>Bíceps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184</xdr:row>
          <xdr:rowOff>182880</xdr:rowOff>
        </xdr:from>
        <xdr:to>
          <xdr:col>7</xdr:col>
          <xdr:colOff>571500</xdr:colOff>
          <xdr:row>186</xdr:row>
          <xdr:rowOff>60960</xdr:rowOff>
        </xdr:to>
        <xdr:sp macro="" textlink="">
          <xdr:nvSpPr>
            <xdr:cNvPr id="48201" name="Caixa de seleção 112" hidden="1">
              <a:extLst>
                <a:ext uri="{63B3BB69-23CF-44E3-9099-C40C66FF867C}">
                  <a14:compatExt spid="_x0000_s48201"/>
                </a:ext>
                <a:ext uri="{FF2B5EF4-FFF2-40B4-BE49-F238E27FC236}">
                  <a16:creationId xmlns:a16="http://schemas.microsoft.com/office/drawing/2014/main" id="{00000000-0008-0000-0500-00004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190</xdr:row>
          <xdr:rowOff>0</xdr:rowOff>
        </xdr:from>
        <xdr:to>
          <xdr:col>9</xdr:col>
          <xdr:colOff>685800</xdr:colOff>
          <xdr:row>191</xdr:row>
          <xdr:rowOff>60960</xdr:rowOff>
        </xdr:to>
        <xdr:sp macro="" textlink="">
          <xdr:nvSpPr>
            <xdr:cNvPr id="48202" name="Caixa de seleção 112" hidden="1">
              <a:extLst>
                <a:ext uri="{63B3BB69-23CF-44E3-9099-C40C66FF867C}">
                  <a14:compatExt spid="_x0000_s48202"/>
                </a:ext>
                <a:ext uri="{FF2B5EF4-FFF2-40B4-BE49-F238E27FC236}">
                  <a16:creationId xmlns:a16="http://schemas.microsoft.com/office/drawing/2014/main" id="{00000000-0008-0000-0500-00004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Neutro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7776</xdr:colOff>
      <xdr:row>170</xdr:row>
      <xdr:rowOff>177436</xdr:rowOff>
    </xdr:from>
    <xdr:to>
      <xdr:col>12</xdr:col>
      <xdr:colOff>7774</xdr:colOff>
      <xdr:row>186</xdr:row>
      <xdr:rowOff>72369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496" y="24797656"/>
          <a:ext cx="1188718" cy="21733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170</xdr:row>
      <xdr:rowOff>178837</xdr:rowOff>
    </xdr:from>
    <xdr:to>
      <xdr:col>15</xdr:col>
      <xdr:colOff>15551</xdr:colOff>
      <xdr:row>186</xdr:row>
      <xdr:rowOff>61483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320" y="24799057"/>
          <a:ext cx="1204271" cy="2161026"/>
        </a:xfrm>
        <a:prstGeom prst="rect">
          <a:avLst/>
        </a:prstGeom>
      </xdr:spPr>
    </xdr:pic>
    <xdr:clientData/>
  </xdr:twoCellAnchor>
  <xdr:twoCellAnchor editAs="oneCell">
    <xdr:from>
      <xdr:col>6</xdr:col>
      <xdr:colOff>89728</xdr:colOff>
      <xdr:row>189</xdr:row>
      <xdr:rowOff>4666</xdr:rowOff>
    </xdr:from>
    <xdr:to>
      <xdr:col>8</xdr:col>
      <xdr:colOff>11039</xdr:colOff>
      <xdr:row>204</xdr:row>
      <xdr:rowOff>68792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168" y="27429046"/>
          <a:ext cx="1201471" cy="2144386"/>
        </a:xfrm>
        <a:prstGeom prst="rect">
          <a:avLst/>
        </a:prstGeom>
      </xdr:spPr>
    </xdr:pic>
    <xdr:clientData/>
  </xdr:twoCellAnchor>
  <xdr:twoCellAnchor editAs="oneCell">
    <xdr:from>
      <xdr:col>12</xdr:col>
      <xdr:colOff>180392</xdr:colOff>
      <xdr:row>189</xdr:row>
      <xdr:rowOff>9332</xdr:rowOff>
    </xdr:from>
    <xdr:to>
      <xdr:col>15</xdr:col>
      <xdr:colOff>9331</xdr:colOff>
      <xdr:row>204</xdr:row>
      <xdr:rowOff>73458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832" y="27433712"/>
          <a:ext cx="1200539" cy="21443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199</xdr:row>
          <xdr:rowOff>7620</xdr:rowOff>
        </xdr:from>
        <xdr:to>
          <xdr:col>5</xdr:col>
          <xdr:colOff>708660</xdr:colOff>
          <xdr:row>200</xdr:row>
          <xdr:rowOff>60960</xdr:rowOff>
        </xdr:to>
        <xdr:sp macro="" textlink="">
          <xdr:nvSpPr>
            <xdr:cNvPr id="48203" name="Caixa de seleção 68" hidden="1">
              <a:extLst>
                <a:ext uri="{63B3BB69-23CF-44E3-9099-C40C66FF867C}">
                  <a14:compatExt spid="_x0000_s48203"/>
                </a:ext>
                <a:ext uri="{FF2B5EF4-FFF2-40B4-BE49-F238E27FC236}">
                  <a16:creationId xmlns:a16="http://schemas.microsoft.com/office/drawing/2014/main" id="{00000000-0008-0000-0500-00004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Alinhada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845820</xdr:colOff>
          <xdr:row>211</xdr:row>
          <xdr:rowOff>0</xdr:rowOff>
        </xdr:from>
        <xdr:to>
          <xdr:col>7</xdr:col>
          <xdr:colOff>403860</xdr:colOff>
          <xdr:row>212</xdr:row>
          <xdr:rowOff>60960</xdr:rowOff>
        </xdr:to>
        <xdr:sp macro="" textlink="">
          <xdr:nvSpPr>
            <xdr:cNvPr id="48204" name="Caixa de seleção 82" hidden="1">
              <a:extLst>
                <a:ext uri="{63B3BB69-23CF-44E3-9099-C40C66FF867C}">
                  <a14:compatExt spid="_x0000_s48204"/>
                </a:ext>
                <a:ext uri="{FF2B5EF4-FFF2-40B4-BE49-F238E27FC236}">
                  <a16:creationId xmlns:a16="http://schemas.microsoft.com/office/drawing/2014/main" id="{00000000-0008-0000-0500-00004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Supinado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192</xdr:row>
          <xdr:rowOff>175260</xdr:rowOff>
        </xdr:from>
        <xdr:to>
          <xdr:col>10</xdr:col>
          <xdr:colOff>38100</xdr:colOff>
          <xdr:row>194</xdr:row>
          <xdr:rowOff>68580</xdr:rowOff>
        </xdr:to>
        <xdr:sp macro="" textlink="">
          <xdr:nvSpPr>
            <xdr:cNvPr id="48205" name="Caixa de seleção 99" hidden="1">
              <a:extLst>
                <a:ext uri="{63B3BB69-23CF-44E3-9099-C40C66FF867C}">
                  <a14:compatExt spid="_x0000_s48205"/>
                </a:ext>
                <a:ext uri="{FF2B5EF4-FFF2-40B4-BE49-F238E27FC236}">
                  <a16:creationId xmlns:a16="http://schemas.microsoft.com/office/drawing/2014/main" id="{00000000-0008-0000-0500-00004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Esquerda Deprimida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192</xdr:row>
          <xdr:rowOff>175260</xdr:rowOff>
        </xdr:from>
        <xdr:to>
          <xdr:col>12</xdr:col>
          <xdr:colOff>144780</xdr:colOff>
          <xdr:row>194</xdr:row>
          <xdr:rowOff>68580</xdr:rowOff>
        </xdr:to>
        <xdr:sp macro="" textlink="">
          <xdr:nvSpPr>
            <xdr:cNvPr id="48206" name="Caixa de seleção 100" hidden="1">
              <a:extLst>
                <a:ext uri="{63B3BB69-23CF-44E3-9099-C40C66FF867C}">
                  <a14:compatExt spid="_x0000_s48206"/>
                </a:ext>
                <a:ext uri="{FF2B5EF4-FFF2-40B4-BE49-F238E27FC236}">
                  <a16:creationId xmlns:a16="http://schemas.microsoft.com/office/drawing/2014/main" id="{00000000-0008-0000-0500-00004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Direita Deprimida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99060</xdr:colOff>
      <xdr:row>103</xdr:row>
      <xdr:rowOff>49530</xdr:rowOff>
    </xdr:from>
    <xdr:to>
      <xdr:col>9</xdr:col>
      <xdr:colOff>982980</xdr:colOff>
      <xdr:row>112</xdr:row>
      <xdr:rowOff>129540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30480</xdr:colOff>
      <xdr:row>103</xdr:row>
      <xdr:rowOff>41910</xdr:rowOff>
    </xdr:from>
    <xdr:to>
      <xdr:col>6</xdr:col>
      <xdr:colOff>83820</xdr:colOff>
      <xdr:row>112</xdr:row>
      <xdr:rowOff>121920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403860</xdr:colOff>
      <xdr:row>0</xdr:row>
      <xdr:rowOff>0</xdr:rowOff>
    </xdr:from>
    <xdr:to>
      <xdr:col>7</xdr:col>
      <xdr:colOff>415290</xdr:colOff>
      <xdr:row>6</xdr:row>
      <xdr:rowOff>10765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060" y="0"/>
          <a:ext cx="11430" cy="1108045"/>
        </a:xfrm>
        <a:prstGeom prst="rect">
          <a:avLst/>
        </a:prstGeom>
      </xdr:spPr>
    </xdr:pic>
    <xdr:clientData/>
  </xdr:twoCellAnchor>
  <xdr:twoCellAnchor editAs="oneCell">
    <xdr:from>
      <xdr:col>5</xdr:col>
      <xdr:colOff>619760</xdr:colOff>
      <xdr:row>0</xdr:row>
      <xdr:rowOff>5080</xdr:rowOff>
    </xdr:from>
    <xdr:to>
      <xdr:col>16</xdr:col>
      <xdr:colOff>117173</xdr:colOff>
      <xdr:row>6</xdr:row>
      <xdr:rowOff>10765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40" y="5080"/>
          <a:ext cx="3787473" cy="11029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0</xdr:row>
      <xdr:rowOff>34290</xdr:rowOff>
    </xdr:from>
    <xdr:to>
      <xdr:col>9</xdr:col>
      <xdr:colOff>457200</xdr:colOff>
      <xdr:row>15</xdr:row>
      <xdr:rowOff>167640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53340</xdr:colOff>
      <xdr:row>16</xdr:row>
      <xdr:rowOff>106680</xdr:rowOff>
    </xdr:from>
    <xdr:to>
      <xdr:col>9</xdr:col>
      <xdr:colOff>464820</xdr:colOff>
      <xdr:row>32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60960</xdr:colOff>
      <xdr:row>33</xdr:row>
      <xdr:rowOff>38100</xdr:rowOff>
    </xdr:from>
    <xdr:to>
      <xdr:col>9</xdr:col>
      <xdr:colOff>480060</xdr:colOff>
      <xdr:row>49</xdr:row>
      <xdr:rowOff>49530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Users/vista/Ewerton%20treinos/treinos/MARCELO%20GHIEH/treino%20Marcelo%20Ghieh%207.xlsx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TREINOS"/>
      <sheetName val="EVOLUÇÃO"/>
      <sheetName val="SOBRE"/>
    </sheetNames>
    <sheetDataSet>
      <sheetData sheetId="0">
        <row r="18">
          <cell r="W18" t="str">
            <v>Treino A</v>
          </cell>
        </row>
        <row r="19">
          <cell r="W19" t="str">
            <v>Treino C</v>
          </cell>
        </row>
        <row r="20">
          <cell r="W20" t="str">
            <v>Treino D</v>
          </cell>
        </row>
        <row r="21">
          <cell r="W21" t="str">
            <v>Corrida 1</v>
          </cell>
        </row>
        <row r="22">
          <cell r="W22" t="str">
            <v>Corrida 2</v>
          </cell>
        </row>
        <row r="23">
          <cell r="W23" t="str">
            <v>Corrida 3</v>
          </cell>
        </row>
        <row r="24">
          <cell r="W24" t="str">
            <v>Corrida 4</v>
          </cell>
        </row>
        <row r="25">
          <cell r="W25" t="str">
            <v>Bike 1</v>
          </cell>
        </row>
        <row r="26">
          <cell r="W26" t="str">
            <v>Bike 2</v>
          </cell>
        </row>
        <row r="27">
          <cell r="W27" t="str">
            <v>Bike 3</v>
          </cell>
        </row>
        <row r="28">
          <cell r="W28" t="str">
            <v>Bike 4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AUX_IMC_Classificação3" displayName="AUX_IMC_Classificação3" ref="U88:V99" totalsRowShown="0" headerRowDxfId="154" dataDxfId="153">
  <autoFilter ref="U88:V99" xr:uid="{00000000-0009-0000-0100-000002000000}"/>
  <tableColumns count="2">
    <tableColumn id="1" xr3:uid="{00000000-0010-0000-0100-000001000000}" name="IMC" dataDxfId="152"/>
    <tableColumn id="2" xr3:uid="{00000000-0010-0000-0100-000002000000}" name="Classificação" dataDxfId="151"/>
  </tableColumns>
  <tableStyleInfo name="TableStyleLight10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0FC6712-B6B7-486E-9CB8-FDA128BCABFC}" name="AUX_IMC_Classificação34710" displayName="AUX_IMC_Classificação34710" ref="U88:V99" totalsRowShown="0" headerRowDxfId="67" dataDxfId="66">
  <autoFilter ref="U88:V99" xr:uid="{00000000-0009-0000-0100-000002000000}"/>
  <tableColumns count="2">
    <tableColumn id="1" xr3:uid="{C16DC27D-AEF2-4913-A65B-53EE94704C02}" name="IMC" dataDxfId="65"/>
    <tableColumn id="2" xr3:uid="{F851FA27-CF47-4B74-ADD5-0CC2D08611DC}" name="Classificação" dataDxfId="64"/>
  </tableColumns>
  <tableStyleInfo name="TableStyleLight1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6C6F226-C9B0-4FF7-ABE4-A41BBCEE74FC}" name="AUX_IMC_Classificação5811" displayName="AUX_IMC_Classificação5811" ref="EH16:EI25" totalsRowShown="0" headerRowDxfId="63" dataDxfId="62">
  <autoFilter ref="EH16:EI25" xr:uid="{00000000-0009-0000-0100-000001000000}"/>
  <tableColumns count="2">
    <tableColumn id="1" xr3:uid="{CC77733E-EA2D-4971-B217-6BEB0A9C2161}" name="IMC" dataDxfId="61"/>
    <tableColumn id="2" xr3:uid="{58B79F5F-97AC-4DFA-9A6A-229C6B6BE61B}" name="Classificação" dataDxfId="60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9FF01A5-D111-4FA2-8175-5BEB965E6945}" name="tbGC6912" displayName="tbGC6912" ref="X148:Z157" totalsRowShown="0">
  <autoFilter ref="X148:Z157" xr:uid="{7EC5CD4A-2F62-4D89-8585-C2EB87E41337}"/>
  <tableColumns count="3">
    <tableColumn id="1" xr3:uid="{53370303-C292-458F-B83B-F2F8DC4C5FBE}" name="codigo"/>
    <tableColumn id="2" xr3:uid="{4228C066-F3EC-40F4-B1D3-2547C4946C87}" name="nome" dataDxfId="59"/>
    <tableColumn id="3" xr3:uid="{59F64734-08AD-4B6D-A4F2-D05F875AFC75}" name="resultado" dataDxfId="58">
      <calculatedColumnFormula>AB88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714CD22-D6A7-422C-9F82-81CA453D9BD0}" name="AUX_IMC_Classificação3471013" displayName="AUX_IMC_Classificação3471013" ref="U88:V99" totalsRowShown="0" headerRowDxfId="38" dataDxfId="37">
  <autoFilter ref="U88:V99" xr:uid="{00000000-0009-0000-0100-000002000000}"/>
  <tableColumns count="2">
    <tableColumn id="1" xr3:uid="{9618EA1A-6166-46CB-8CA4-B75B02BDA431}" name="IMC" dataDxfId="36"/>
    <tableColumn id="2" xr3:uid="{EA0B0D14-60A2-49F9-B96B-DBC00FEEB631}" name="Classificação" dataDxfId="35"/>
  </tableColumns>
  <tableStyleInfo name="TableStyleLight10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570F825-7988-4A9C-806A-846FB76259AA}" name="AUX_IMC_Classificação581114" displayName="AUX_IMC_Classificação581114" ref="EH16:EI25" totalsRowShown="0" headerRowDxfId="34" dataDxfId="33">
  <autoFilter ref="EH16:EI25" xr:uid="{00000000-0009-0000-0100-000001000000}"/>
  <tableColumns count="2">
    <tableColumn id="1" xr3:uid="{6B793C76-A229-4D08-B2E7-5DF3B5F8D354}" name="IMC" dataDxfId="32"/>
    <tableColumn id="2" xr3:uid="{AC2EAC12-6083-429D-87D3-9D85BA8C983F}" name="Classificação" dataDxfId="31"/>
  </tableColumns>
  <tableStyleInfo name="TableStyleLight10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DF49FEF-25C2-493C-A385-168BD1646330}" name="tbGC691215" displayName="tbGC691215" ref="X148:Z157" totalsRowShown="0">
  <autoFilter ref="X148:Z157" xr:uid="{7EC5CD4A-2F62-4D89-8585-C2EB87E41337}"/>
  <tableColumns count="3">
    <tableColumn id="1" xr3:uid="{8748BA8C-196B-42DE-B681-0E6B4CA0E1E6}" name="codigo"/>
    <tableColumn id="2" xr3:uid="{139755ED-0904-40C4-93D6-ABC9E11896C0}" name="nome" dataDxfId="30"/>
    <tableColumn id="3" xr3:uid="{A2EF034C-F100-4CE2-BA87-3ACBC03240A2}" name="resultado" dataDxfId="29">
      <calculatedColumnFormula>AB88</calculatedColumnFormula>
    </tableColumn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D6E95F0-C792-4F47-B415-0781FBF45670}" name="AUX_IMC_Classificação347101317" displayName="AUX_IMC_Classificação347101317" ref="U88:V99" totalsRowShown="0" headerRowDxfId="9" dataDxfId="8">
  <autoFilter ref="U88:V99" xr:uid="{00000000-0009-0000-0100-000002000000}"/>
  <tableColumns count="2">
    <tableColumn id="1" xr3:uid="{731C4FAE-1A4A-4C3E-A978-DFFCF58FB56F}" name="IMC" dataDxfId="7"/>
    <tableColumn id="2" xr3:uid="{65B8FAB3-CF43-4B73-94F7-5EBB7F93B8DD}" name="Classificação" dataDxfId="6"/>
  </tableColumns>
  <tableStyleInfo name="TableStyleLight10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42A1F18-ABA2-4DAE-8F5F-B896EF8AA2FF}" name="AUX_IMC_Classificação58111418" displayName="AUX_IMC_Classificação58111418" ref="EH16:EI25" totalsRowShown="0" headerRowDxfId="5" dataDxfId="4">
  <autoFilter ref="EH16:EI25" xr:uid="{00000000-0009-0000-0100-000001000000}"/>
  <tableColumns count="2">
    <tableColumn id="1" xr3:uid="{81E6EDBC-7049-437A-8633-8D37B77795DF}" name="IMC" dataDxfId="3"/>
    <tableColumn id="2" xr3:uid="{0CEAFDBE-249D-4048-9870-A8D5FA0F29B3}" name="Classificação" dataDxfId="2"/>
  </tableColumns>
  <tableStyleInfo name="TableStyleLight10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190B765-73DB-4551-A993-91C4961B2A33}" name="tbGC69121519" displayName="tbGC69121519" ref="X148:Z157" totalsRowShown="0">
  <autoFilter ref="X148:Z157" xr:uid="{7EC5CD4A-2F62-4D89-8585-C2EB87E41337}"/>
  <tableColumns count="3">
    <tableColumn id="1" xr3:uid="{177B67E8-B2B9-41DB-A1AC-15335A6EC662}" name="codigo"/>
    <tableColumn id="2" xr3:uid="{74423939-C9C6-4D69-864E-6BB40F1400A9}" name="nome" dataDxfId="1"/>
    <tableColumn id="3" xr3:uid="{E27D0B33-3E10-44A4-9384-70BF9575AF4F}" name="resultado" dataDxfId="0">
      <calculatedColumnFormula>AB88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UX_IMC_Classificação" displayName="AUX_IMC_Classificação" ref="EH16:EI25" totalsRowShown="0" headerRowDxfId="150" dataDxfId="149">
  <autoFilter ref="EH16:EI25" xr:uid="{00000000-0009-0000-0100-000001000000}"/>
  <tableColumns count="2">
    <tableColumn id="1" xr3:uid="{00000000-0010-0000-0000-000001000000}" name="IMC" dataDxfId="148"/>
    <tableColumn id="2" xr3:uid="{00000000-0010-0000-0000-000002000000}" name="Classificação" dataDxfId="147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862DCB9-9D44-4ECA-AFA0-98E880738B1B}" name="tbGC" displayName="tbGC" ref="X148:Z157" totalsRowShown="0">
  <autoFilter ref="X148:Z157" xr:uid="{7EC5CD4A-2F62-4D89-8585-C2EB87E41337}"/>
  <tableColumns count="3">
    <tableColumn id="1" xr3:uid="{DC402CE9-94A8-4506-8B82-E46201532819}" name="codigo"/>
    <tableColumn id="2" xr3:uid="{1D741C63-5676-447F-B195-1004B5D51AE5}" name="nome" dataDxfId="146"/>
    <tableColumn id="3" xr3:uid="{ACF26446-4D96-4D26-A1B3-471F018D9B6C}" name="resultado" dataDxfId="145">
      <calculatedColumnFormula>AB88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2ABCD39-84CA-4935-A32C-2C835E4D11E8}" name="AUX_IMC_Classificação34" displayName="AUX_IMC_Classificação34" ref="U88:V99" totalsRowShown="0" headerRowDxfId="125" dataDxfId="124">
  <autoFilter ref="U88:V99" xr:uid="{00000000-0009-0000-0100-000002000000}"/>
  <tableColumns count="2">
    <tableColumn id="1" xr3:uid="{EB781A20-D402-4EA1-AAD0-C5B8C0AB3367}" name="IMC" dataDxfId="123"/>
    <tableColumn id="2" xr3:uid="{EA3E6BB0-DD8E-4BD3-AD37-BD00856F58AC}" name="Classificação" dataDxfId="122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8FEC75-9B93-408E-9EFF-23AC25B48288}" name="AUX_IMC_Classificação5" displayName="AUX_IMC_Classificação5" ref="EH16:EI25" totalsRowShown="0" headerRowDxfId="121" dataDxfId="120">
  <autoFilter ref="EH16:EI25" xr:uid="{00000000-0009-0000-0100-000001000000}"/>
  <tableColumns count="2">
    <tableColumn id="1" xr3:uid="{90B61489-466C-4D03-8A5C-9AD1B1B61209}" name="IMC" dataDxfId="119"/>
    <tableColumn id="2" xr3:uid="{1D744A43-5550-405A-9952-7F7AB23615FF}" name="Classificação" dataDxfId="118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9B94B8B-A09A-4F04-8373-AF6C899B2C04}" name="tbGC6" displayName="tbGC6" ref="X148:Z157" totalsRowShown="0">
  <autoFilter ref="X148:Z157" xr:uid="{7EC5CD4A-2F62-4D89-8585-C2EB87E41337}"/>
  <tableColumns count="3">
    <tableColumn id="1" xr3:uid="{7D7BC8E7-7510-4135-B07D-B49CE8856841}" name="codigo"/>
    <tableColumn id="2" xr3:uid="{D40CF242-26E4-45B0-8D1F-683833163E95}" name="nome" dataDxfId="117"/>
    <tableColumn id="3" xr3:uid="{A5A0FA80-699C-4DDC-82B9-D5E7271A8976}" name="resultado" dataDxfId="116">
      <calculatedColumnFormula>AB88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DEA252-5638-4E58-B70D-87B1F7CBF5A3}" name="AUX_IMC_Classificação347" displayName="AUX_IMC_Classificação347" ref="U88:V99" totalsRowShown="0" headerRowDxfId="96" dataDxfId="95">
  <autoFilter ref="U88:V99" xr:uid="{00000000-0009-0000-0100-000002000000}"/>
  <tableColumns count="2">
    <tableColumn id="1" xr3:uid="{B2A98B7E-2EAF-4250-9DE2-7ED85BFB0535}" name="IMC" dataDxfId="94"/>
    <tableColumn id="2" xr3:uid="{7B6DA535-31E0-4883-BEAD-00D77D40DE70}" name="Classificação" dataDxfId="93"/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EBDCB3B-2B86-4E11-A0ED-0436DF5A29D9}" name="AUX_IMC_Classificação58" displayName="AUX_IMC_Classificação58" ref="EH16:EI25" totalsRowShown="0" headerRowDxfId="92" dataDxfId="91">
  <autoFilter ref="EH16:EI25" xr:uid="{00000000-0009-0000-0100-000001000000}"/>
  <tableColumns count="2">
    <tableColumn id="1" xr3:uid="{9DE1789F-BC5A-4E1F-A016-01EC046BD9B4}" name="IMC" dataDxfId="90"/>
    <tableColumn id="2" xr3:uid="{4BE23DF6-60E9-4340-ABC9-FA15FC38776D}" name="Classificação" dataDxfId="89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334E198-021F-4616-8143-29BC601F3A8E}" name="tbGC69" displayName="tbGC69" ref="X148:Z157" totalsRowShown="0">
  <autoFilter ref="X148:Z157" xr:uid="{7EC5CD4A-2F62-4D89-8585-C2EB87E41337}"/>
  <tableColumns count="3">
    <tableColumn id="1" xr3:uid="{92B8CA28-47C3-4E04-944A-04A495559A5E}" name="codigo"/>
    <tableColumn id="2" xr3:uid="{9629AD4B-EBA4-4B7B-807C-6E9A02B09BC5}" name="nome" dataDxfId="88"/>
    <tableColumn id="3" xr3:uid="{2E7BFA07-67AA-496E-AD7E-46EA3BDB3F5A}" name="resultado" dataDxfId="87">
      <calculatedColumnFormula>AB88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 /><Relationship Id="rId18" Type="http://schemas.openxmlformats.org/officeDocument/2006/relationships/ctrlProp" Target="../ctrlProps/ctrlProp15.xml" /><Relationship Id="rId26" Type="http://schemas.openxmlformats.org/officeDocument/2006/relationships/ctrlProp" Target="../ctrlProps/ctrlProp23.xml" /><Relationship Id="rId39" Type="http://schemas.openxmlformats.org/officeDocument/2006/relationships/ctrlProp" Target="../ctrlProps/ctrlProp36.xml" /><Relationship Id="rId21" Type="http://schemas.openxmlformats.org/officeDocument/2006/relationships/ctrlProp" Target="../ctrlProps/ctrlProp18.xml" /><Relationship Id="rId34" Type="http://schemas.openxmlformats.org/officeDocument/2006/relationships/ctrlProp" Target="../ctrlProps/ctrlProp31.xml" /><Relationship Id="rId42" Type="http://schemas.openxmlformats.org/officeDocument/2006/relationships/ctrlProp" Target="../ctrlProps/ctrlProp39.xml" /><Relationship Id="rId47" Type="http://schemas.openxmlformats.org/officeDocument/2006/relationships/ctrlProp" Target="../ctrlProps/ctrlProp44.xml" /><Relationship Id="rId50" Type="http://schemas.openxmlformats.org/officeDocument/2006/relationships/ctrlProp" Target="../ctrlProps/ctrlProp47.xml" /><Relationship Id="rId55" Type="http://schemas.openxmlformats.org/officeDocument/2006/relationships/ctrlProp" Target="../ctrlProps/ctrlProp52.xml" /><Relationship Id="rId63" Type="http://schemas.openxmlformats.org/officeDocument/2006/relationships/ctrlProp" Target="../ctrlProps/ctrlProp60.xml" /><Relationship Id="rId68" Type="http://schemas.openxmlformats.org/officeDocument/2006/relationships/ctrlProp" Target="../ctrlProps/ctrlProp65.xml" /><Relationship Id="rId76" Type="http://schemas.openxmlformats.org/officeDocument/2006/relationships/ctrlProp" Target="../ctrlProps/ctrlProp73.xml" /><Relationship Id="rId84" Type="http://schemas.openxmlformats.org/officeDocument/2006/relationships/table" Target="../tables/table3.xml" /><Relationship Id="rId7" Type="http://schemas.openxmlformats.org/officeDocument/2006/relationships/ctrlProp" Target="../ctrlProps/ctrlProp4.xml" /><Relationship Id="rId71" Type="http://schemas.openxmlformats.org/officeDocument/2006/relationships/ctrlProp" Target="../ctrlProps/ctrlProp68.xml" /><Relationship Id="rId2" Type="http://schemas.openxmlformats.org/officeDocument/2006/relationships/drawing" Target="../drawings/drawing1.xml" /><Relationship Id="rId16" Type="http://schemas.openxmlformats.org/officeDocument/2006/relationships/ctrlProp" Target="../ctrlProps/ctrlProp13.xml" /><Relationship Id="rId29" Type="http://schemas.openxmlformats.org/officeDocument/2006/relationships/ctrlProp" Target="../ctrlProps/ctrlProp26.xml" /><Relationship Id="rId11" Type="http://schemas.openxmlformats.org/officeDocument/2006/relationships/ctrlProp" Target="../ctrlProps/ctrlProp8.xml" /><Relationship Id="rId24" Type="http://schemas.openxmlformats.org/officeDocument/2006/relationships/ctrlProp" Target="../ctrlProps/ctrlProp21.xml" /><Relationship Id="rId32" Type="http://schemas.openxmlformats.org/officeDocument/2006/relationships/ctrlProp" Target="../ctrlProps/ctrlProp29.xml" /><Relationship Id="rId37" Type="http://schemas.openxmlformats.org/officeDocument/2006/relationships/ctrlProp" Target="../ctrlProps/ctrlProp34.xml" /><Relationship Id="rId40" Type="http://schemas.openxmlformats.org/officeDocument/2006/relationships/ctrlProp" Target="../ctrlProps/ctrlProp37.xml" /><Relationship Id="rId45" Type="http://schemas.openxmlformats.org/officeDocument/2006/relationships/ctrlProp" Target="../ctrlProps/ctrlProp42.xml" /><Relationship Id="rId53" Type="http://schemas.openxmlformats.org/officeDocument/2006/relationships/ctrlProp" Target="../ctrlProps/ctrlProp50.xml" /><Relationship Id="rId58" Type="http://schemas.openxmlformats.org/officeDocument/2006/relationships/ctrlProp" Target="../ctrlProps/ctrlProp55.xml" /><Relationship Id="rId66" Type="http://schemas.openxmlformats.org/officeDocument/2006/relationships/ctrlProp" Target="../ctrlProps/ctrlProp63.xml" /><Relationship Id="rId74" Type="http://schemas.openxmlformats.org/officeDocument/2006/relationships/ctrlProp" Target="../ctrlProps/ctrlProp71.xml" /><Relationship Id="rId79" Type="http://schemas.openxmlformats.org/officeDocument/2006/relationships/ctrlProp" Target="../ctrlProps/ctrlProp76.xml" /><Relationship Id="rId5" Type="http://schemas.openxmlformats.org/officeDocument/2006/relationships/ctrlProp" Target="../ctrlProps/ctrlProp2.xml" /><Relationship Id="rId61" Type="http://schemas.openxmlformats.org/officeDocument/2006/relationships/ctrlProp" Target="../ctrlProps/ctrlProp58.xml" /><Relationship Id="rId82" Type="http://schemas.openxmlformats.org/officeDocument/2006/relationships/table" Target="../tables/table1.xml" /><Relationship Id="rId10" Type="http://schemas.openxmlformats.org/officeDocument/2006/relationships/ctrlProp" Target="../ctrlProps/ctrlProp7.xml" /><Relationship Id="rId19" Type="http://schemas.openxmlformats.org/officeDocument/2006/relationships/ctrlProp" Target="../ctrlProps/ctrlProp16.xml" /><Relationship Id="rId31" Type="http://schemas.openxmlformats.org/officeDocument/2006/relationships/ctrlProp" Target="../ctrlProps/ctrlProp28.xml" /><Relationship Id="rId44" Type="http://schemas.openxmlformats.org/officeDocument/2006/relationships/ctrlProp" Target="../ctrlProps/ctrlProp41.xml" /><Relationship Id="rId52" Type="http://schemas.openxmlformats.org/officeDocument/2006/relationships/ctrlProp" Target="../ctrlProps/ctrlProp49.xml" /><Relationship Id="rId60" Type="http://schemas.openxmlformats.org/officeDocument/2006/relationships/ctrlProp" Target="../ctrlProps/ctrlProp57.xml" /><Relationship Id="rId65" Type="http://schemas.openxmlformats.org/officeDocument/2006/relationships/ctrlProp" Target="../ctrlProps/ctrlProp62.xml" /><Relationship Id="rId73" Type="http://schemas.openxmlformats.org/officeDocument/2006/relationships/ctrlProp" Target="../ctrlProps/ctrlProp70.xml" /><Relationship Id="rId78" Type="http://schemas.openxmlformats.org/officeDocument/2006/relationships/ctrlProp" Target="../ctrlProps/ctrlProp75.xml" /><Relationship Id="rId81" Type="http://schemas.openxmlformats.org/officeDocument/2006/relationships/ctrlProp" Target="../ctrlProps/ctrlProp78.xml" /><Relationship Id="rId4" Type="http://schemas.openxmlformats.org/officeDocument/2006/relationships/ctrlProp" Target="../ctrlProps/ctrlProp1.xml" /><Relationship Id="rId9" Type="http://schemas.openxmlformats.org/officeDocument/2006/relationships/ctrlProp" Target="../ctrlProps/ctrlProp6.xml" /><Relationship Id="rId14" Type="http://schemas.openxmlformats.org/officeDocument/2006/relationships/ctrlProp" Target="../ctrlProps/ctrlProp11.xml" /><Relationship Id="rId22" Type="http://schemas.openxmlformats.org/officeDocument/2006/relationships/ctrlProp" Target="../ctrlProps/ctrlProp19.xml" /><Relationship Id="rId27" Type="http://schemas.openxmlformats.org/officeDocument/2006/relationships/ctrlProp" Target="../ctrlProps/ctrlProp24.xml" /><Relationship Id="rId30" Type="http://schemas.openxmlformats.org/officeDocument/2006/relationships/ctrlProp" Target="../ctrlProps/ctrlProp27.xml" /><Relationship Id="rId35" Type="http://schemas.openxmlformats.org/officeDocument/2006/relationships/ctrlProp" Target="../ctrlProps/ctrlProp32.xml" /><Relationship Id="rId43" Type="http://schemas.openxmlformats.org/officeDocument/2006/relationships/ctrlProp" Target="../ctrlProps/ctrlProp40.xml" /><Relationship Id="rId48" Type="http://schemas.openxmlformats.org/officeDocument/2006/relationships/ctrlProp" Target="../ctrlProps/ctrlProp45.xml" /><Relationship Id="rId56" Type="http://schemas.openxmlformats.org/officeDocument/2006/relationships/ctrlProp" Target="../ctrlProps/ctrlProp53.xml" /><Relationship Id="rId64" Type="http://schemas.openxmlformats.org/officeDocument/2006/relationships/ctrlProp" Target="../ctrlProps/ctrlProp61.xml" /><Relationship Id="rId69" Type="http://schemas.openxmlformats.org/officeDocument/2006/relationships/ctrlProp" Target="../ctrlProps/ctrlProp66.xml" /><Relationship Id="rId77" Type="http://schemas.openxmlformats.org/officeDocument/2006/relationships/ctrlProp" Target="../ctrlProps/ctrlProp74.xml" /><Relationship Id="rId8" Type="http://schemas.openxmlformats.org/officeDocument/2006/relationships/ctrlProp" Target="../ctrlProps/ctrlProp5.xml" /><Relationship Id="rId51" Type="http://schemas.openxmlformats.org/officeDocument/2006/relationships/ctrlProp" Target="../ctrlProps/ctrlProp48.xml" /><Relationship Id="rId72" Type="http://schemas.openxmlformats.org/officeDocument/2006/relationships/ctrlProp" Target="../ctrlProps/ctrlProp69.xml" /><Relationship Id="rId80" Type="http://schemas.openxmlformats.org/officeDocument/2006/relationships/ctrlProp" Target="../ctrlProps/ctrlProp77.xml" /><Relationship Id="rId3" Type="http://schemas.openxmlformats.org/officeDocument/2006/relationships/vmlDrawing" Target="../drawings/vmlDrawing1.vml" /><Relationship Id="rId12" Type="http://schemas.openxmlformats.org/officeDocument/2006/relationships/ctrlProp" Target="../ctrlProps/ctrlProp9.xml" /><Relationship Id="rId17" Type="http://schemas.openxmlformats.org/officeDocument/2006/relationships/ctrlProp" Target="../ctrlProps/ctrlProp14.xml" /><Relationship Id="rId25" Type="http://schemas.openxmlformats.org/officeDocument/2006/relationships/ctrlProp" Target="../ctrlProps/ctrlProp22.xml" /><Relationship Id="rId33" Type="http://schemas.openxmlformats.org/officeDocument/2006/relationships/ctrlProp" Target="../ctrlProps/ctrlProp30.xml" /><Relationship Id="rId38" Type="http://schemas.openxmlformats.org/officeDocument/2006/relationships/ctrlProp" Target="../ctrlProps/ctrlProp35.xml" /><Relationship Id="rId46" Type="http://schemas.openxmlformats.org/officeDocument/2006/relationships/ctrlProp" Target="../ctrlProps/ctrlProp43.xml" /><Relationship Id="rId59" Type="http://schemas.openxmlformats.org/officeDocument/2006/relationships/ctrlProp" Target="../ctrlProps/ctrlProp56.xml" /><Relationship Id="rId67" Type="http://schemas.openxmlformats.org/officeDocument/2006/relationships/ctrlProp" Target="../ctrlProps/ctrlProp64.xml" /><Relationship Id="rId20" Type="http://schemas.openxmlformats.org/officeDocument/2006/relationships/ctrlProp" Target="../ctrlProps/ctrlProp17.xml" /><Relationship Id="rId41" Type="http://schemas.openxmlformats.org/officeDocument/2006/relationships/ctrlProp" Target="../ctrlProps/ctrlProp38.xml" /><Relationship Id="rId54" Type="http://schemas.openxmlformats.org/officeDocument/2006/relationships/ctrlProp" Target="../ctrlProps/ctrlProp51.xml" /><Relationship Id="rId62" Type="http://schemas.openxmlformats.org/officeDocument/2006/relationships/ctrlProp" Target="../ctrlProps/ctrlProp59.xml" /><Relationship Id="rId70" Type="http://schemas.openxmlformats.org/officeDocument/2006/relationships/ctrlProp" Target="../ctrlProps/ctrlProp67.xml" /><Relationship Id="rId75" Type="http://schemas.openxmlformats.org/officeDocument/2006/relationships/ctrlProp" Target="../ctrlProps/ctrlProp72.xml" /><Relationship Id="rId83" Type="http://schemas.openxmlformats.org/officeDocument/2006/relationships/table" Target="../tables/table2.xml" /><Relationship Id="rId1" Type="http://schemas.openxmlformats.org/officeDocument/2006/relationships/printerSettings" Target="../printerSettings/printerSettings1.bin" /><Relationship Id="rId6" Type="http://schemas.openxmlformats.org/officeDocument/2006/relationships/ctrlProp" Target="../ctrlProps/ctrlProp3.xml" /><Relationship Id="rId15" Type="http://schemas.openxmlformats.org/officeDocument/2006/relationships/ctrlProp" Target="../ctrlProps/ctrlProp12.xml" /><Relationship Id="rId23" Type="http://schemas.openxmlformats.org/officeDocument/2006/relationships/ctrlProp" Target="../ctrlProps/ctrlProp20.xml" /><Relationship Id="rId28" Type="http://schemas.openxmlformats.org/officeDocument/2006/relationships/ctrlProp" Target="../ctrlProps/ctrlProp25.xml" /><Relationship Id="rId36" Type="http://schemas.openxmlformats.org/officeDocument/2006/relationships/ctrlProp" Target="../ctrlProps/ctrlProp33.xml" /><Relationship Id="rId49" Type="http://schemas.openxmlformats.org/officeDocument/2006/relationships/ctrlProp" Target="../ctrlProps/ctrlProp46.xml" /><Relationship Id="rId57" Type="http://schemas.openxmlformats.org/officeDocument/2006/relationships/ctrlProp" Target="../ctrlProps/ctrlProp54.xml" 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8.xml" /><Relationship Id="rId18" Type="http://schemas.openxmlformats.org/officeDocument/2006/relationships/ctrlProp" Target="../ctrlProps/ctrlProp93.xml" /><Relationship Id="rId26" Type="http://schemas.openxmlformats.org/officeDocument/2006/relationships/ctrlProp" Target="../ctrlProps/ctrlProp101.xml" /><Relationship Id="rId39" Type="http://schemas.openxmlformats.org/officeDocument/2006/relationships/ctrlProp" Target="../ctrlProps/ctrlProp114.xml" /><Relationship Id="rId21" Type="http://schemas.openxmlformats.org/officeDocument/2006/relationships/ctrlProp" Target="../ctrlProps/ctrlProp96.xml" /><Relationship Id="rId34" Type="http://schemas.openxmlformats.org/officeDocument/2006/relationships/ctrlProp" Target="../ctrlProps/ctrlProp109.xml" /><Relationship Id="rId42" Type="http://schemas.openxmlformats.org/officeDocument/2006/relationships/ctrlProp" Target="../ctrlProps/ctrlProp117.xml" /><Relationship Id="rId47" Type="http://schemas.openxmlformats.org/officeDocument/2006/relationships/ctrlProp" Target="../ctrlProps/ctrlProp122.xml" /><Relationship Id="rId50" Type="http://schemas.openxmlformats.org/officeDocument/2006/relationships/ctrlProp" Target="../ctrlProps/ctrlProp125.xml" /><Relationship Id="rId55" Type="http://schemas.openxmlformats.org/officeDocument/2006/relationships/ctrlProp" Target="../ctrlProps/ctrlProp130.xml" /><Relationship Id="rId63" Type="http://schemas.openxmlformats.org/officeDocument/2006/relationships/ctrlProp" Target="../ctrlProps/ctrlProp138.xml" /><Relationship Id="rId68" Type="http://schemas.openxmlformats.org/officeDocument/2006/relationships/ctrlProp" Target="../ctrlProps/ctrlProp143.xml" /><Relationship Id="rId76" Type="http://schemas.openxmlformats.org/officeDocument/2006/relationships/ctrlProp" Target="../ctrlProps/ctrlProp151.xml" /><Relationship Id="rId84" Type="http://schemas.openxmlformats.org/officeDocument/2006/relationships/table" Target="../tables/table6.xml" /><Relationship Id="rId7" Type="http://schemas.openxmlformats.org/officeDocument/2006/relationships/ctrlProp" Target="../ctrlProps/ctrlProp82.xml" /><Relationship Id="rId71" Type="http://schemas.openxmlformats.org/officeDocument/2006/relationships/ctrlProp" Target="../ctrlProps/ctrlProp146.xml" /><Relationship Id="rId2" Type="http://schemas.openxmlformats.org/officeDocument/2006/relationships/drawing" Target="../drawings/drawing2.xml" /><Relationship Id="rId16" Type="http://schemas.openxmlformats.org/officeDocument/2006/relationships/ctrlProp" Target="../ctrlProps/ctrlProp91.xml" /><Relationship Id="rId29" Type="http://schemas.openxmlformats.org/officeDocument/2006/relationships/ctrlProp" Target="../ctrlProps/ctrlProp104.xml" /><Relationship Id="rId11" Type="http://schemas.openxmlformats.org/officeDocument/2006/relationships/ctrlProp" Target="../ctrlProps/ctrlProp86.xml" /><Relationship Id="rId24" Type="http://schemas.openxmlformats.org/officeDocument/2006/relationships/ctrlProp" Target="../ctrlProps/ctrlProp99.xml" /><Relationship Id="rId32" Type="http://schemas.openxmlformats.org/officeDocument/2006/relationships/ctrlProp" Target="../ctrlProps/ctrlProp107.xml" /><Relationship Id="rId37" Type="http://schemas.openxmlformats.org/officeDocument/2006/relationships/ctrlProp" Target="../ctrlProps/ctrlProp112.xml" /><Relationship Id="rId40" Type="http://schemas.openxmlformats.org/officeDocument/2006/relationships/ctrlProp" Target="../ctrlProps/ctrlProp115.xml" /><Relationship Id="rId45" Type="http://schemas.openxmlformats.org/officeDocument/2006/relationships/ctrlProp" Target="../ctrlProps/ctrlProp120.xml" /><Relationship Id="rId53" Type="http://schemas.openxmlformats.org/officeDocument/2006/relationships/ctrlProp" Target="../ctrlProps/ctrlProp128.xml" /><Relationship Id="rId58" Type="http://schemas.openxmlformats.org/officeDocument/2006/relationships/ctrlProp" Target="../ctrlProps/ctrlProp133.xml" /><Relationship Id="rId66" Type="http://schemas.openxmlformats.org/officeDocument/2006/relationships/ctrlProp" Target="../ctrlProps/ctrlProp141.xml" /><Relationship Id="rId74" Type="http://schemas.openxmlformats.org/officeDocument/2006/relationships/ctrlProp" Target="../ctrlProps/ctrlProp149.xml" /><Relationship Id="rId79" Type="http://schemas.openxmlformats.org/officeDocument/2006/relationships/ctrlProp" Target="../ctrlProps/ctrlProp154.xml" /><Relationship Id="rId5" Type="http://schemas.openxmlformats.org/officeDocument/2006/relationships/ctrlProp" Target="../ctrlProps/ctrlProp80.xml" /><Relationship Id="rId61" Type="http://schemas.openxmlformats.org/officeDocument/2006/relationships/ctrlProp" Target="../ctrlProps/ctrlProp136.xml" /><Relationship Id="rId82" Type="http://schemas.openxmlformats.org/officeDocument/2006/relationships/table" Target="../tables/table4.xml" /><Relationship Id="rId10" Type="http://schemas.openxmlformats.org/officeDocument/2006/relationships/ctrlProp" Target="../ctrlProps/ctrlProp85.xml" /><Relationship Id="rId19" Type="http://schemas.openxmlformats.org/officeDocument/2006/relationships/ctrlProp" Target="../ctrlProps/ctrlProp94.xml" /><Relationship Id="rId31" Type="http://schemas.openxmlformats.org/officeDocument/2006/relationships/ctrlProp" Target="../ctrlProps/ctrlProp106.xml" /><Relationship Id="rId44" Type="http://schemas.openxmlformats.org/officeDocument/2006/relationships/ctrlProp" Target="../ctrlProps/ctrlProp119.xml" /><Relationship Id="rId52" Type="http://schemas.openxmlformats.org/officeDocument/2006/relationships/ctrlProp" Target="../ctrlProps/ctrlProp127.xml" /><Relationship Id="rId60" Type="http://schemas.openxmlformats.org/officeDocument/2006/relationships/ctrlProp" Target="../ctrlProps/ctrlProp135.xml" /><Relationship Id="rId65" Type="http://schemas.openxmlformats.org/officeDocument/2006/relationships/ctrlProp" Target="../ctrlProps/ctrlProp140.xml" /><Relationship Id="rId73" Type="http://schemas.openxmlformats.org/officeDocument/2006/relationships/ctrlProp" Target="../ctrlProps/ctrlProp148.xml" /><Relationship Id="rId78" Type="http://schemas.openxmlformats.org/officeDocument/2006/relationships/ctrlProp" Target="../ctrlProps/ctrlProp153.xml" /><Relationship Id="rId81" Type="http://schemas.openxmlformats.org/officeDocument/2006/relationships/ctrlProp" Target="../ctrlProps/ctrlProp156.xml" /><Relationship Id="rId4" Type="http://schemas.openxmlformats.org/officeDocument/2006/relationships/ctrlProp" Target="../ctrlProps/ctrlProp79.xml" /><Relationship Id="rId9" Type="http://schemas.openxmlformats.org/officeDocument/2006/relationships/ctrlProp" Target="../ctrlProps/ctrlProp84.xml" /><Relationship Id="rId14" Type="http://schemas.openxmlformats.org/officeDocument/2006/relationships/ctrlProp" Target="../ctrlProps/ctrlProp89.xml" /><Relationship Id="rId22" Type="http://schemas.openxmlformats.org/officeDocument/2006/relationships/ctrlProp" Target="../ctrlProps/ctrlProp97.xml" /><Relationship Id="rId27" Type="http://schemas.openxmlformats.org/officeDocument/2006/relationships/ctrlProp" Target="../ctrlProps/ctrlProp102.xml" /><Relationship Id="rId30" Type="http://schemas.openxmlformats.org/officeDocument/2006/relationships/ctrlProp" Target="../ctrlProps/ctrlProp105.xml" /><Relationship Id="rId35" Type="http://schemas.openxmlformats.org/officeDocument/2006/relationships/ctrlProp" Target="../ctrlProps/ctrlProp110.xml" /><Relationship Id="rId43" Type="http://schemas.openxmlformats.org/officeDocument/2006/relationships/ctrlProp" Target="../ctrlProps/ctrlProp118.xml" /><Relationship Id="rId48" Type="http://schemas.openxmlformats.org/officeDocument/2006/relationships/ctrlProp" Target="../ctrlProps/ctrlProp123.xml" /><Relationship Id="rId56" Type="http://schemas.openxmlformats.org/officeDocument/2006/relationships/ctrlProp" Target="../ctrlProps/ctrlProp131.xml" /><Relationship Id="rId64" Type="http://schemas.openxmlformats.org/officeDocument/2006/relationships/ctrlProp" Target="../ctrlProps/ctrlProp139.xml" /><Relationship Id="rId69" Type="http://schemas.openxmlformats.org/officeDocument/2006/relationships/ctrlProp" Target="../ctrlProps/ctrlProp144.xml" /><Relationship Id="rId77" Type="http://schemas.openxmlformats.org/officeDocument/2006/relationships/ctrlProp" Target="../ctrlProps/ctrlProp152.xml" /><Relationship Id="rId8" Type="http://schemas.openxmlformats.org/officeDocument/2006/relationships/ctrlProp" Target="../ctrlProps/ctrlProp83.xml" /><Relationship Id="rId51" Type="http://schemas.openxmlformats.org/officeDocument/2006/relationships/ctrlProp" Target="../ctrlProps/ctrlProp126.xml" /><Relationship Id="rId72" Type="http://schemas.openxmlformats.org/officeDocument/2006/relationships/ctrlProp" Target="../ctrlProps/ctrlProp147.xml" /><Relationship Id="rId80" Type="http://schemas.openxmlformats.org/officeDocument/2006/relationships/ctrlProp" Target="../ctrlProps/ctrlProp155.xml" /><Relationship Id="rId3" Type="http://schemas.openxmlformats.org/officeDocument/2006/relationships/vmlDrawing" Target="../drawings/vmlDrawing2.vml" /><Relationship Id="rId12" Type="http://schemas.openxmlformats.org/officeDocument/2006/relationships/ctrlProp" Target="../ctrlProps/ctrlProp87.xml" /><Relationship Id="rId17" Type="http://schemas.openxmlformats.org/officeDocument/2006/relationships/ctrlProp" Target="../ctrlProps/ctrlProp92.xml" /><Relationship Id="rId25" Type="http://schemas.openxmlformats.org/officeDocument/2006/relationships/ctrlProp" Target="../ctrlProps/ctrlProp100.xml" /><Relationship Id="rId33" Type="http://schemas.openxmlformats.org/officeDocument/2006/relationships/ctrlProp" Target="../ctrlProps/ctrlProp108.xml" /><Relationship Id="rId38" Type="http://schemas.openxmlformats.org/officeDocument/2006/relationships/ctrlProp" Target="../ctrlProps/ctrlProp113.xml" /><Relationship Id="rId46" Type="http://schemas.openxmlformats.org/officeDocument/2006/relationships/ctrlProp" Target="../ctrlProps/ctrlProp121.xml" /><Relationship Id="rId59" Type="http://schemas.openxmlformats.org/officeDocument/2006/relationships/ctrlProp" Target="../ctrlProps/ctrlProp134.xml" /><Relationship Id="rId67" Type="http://schemas.openxmlformats.org/officeDocument/2006/relationships/ctrlProp" Target="../ctrlProps/ctrlProp142.xml" /><Relationship Id="rId20" Type="http://schemas.openxmlformats.org/officeDocument/2006/relationships/ctrlProp" Target="../ctrlProps/ctrlProp95.xml" /><Relationship Id="rId41" Type="http://schemas.openxmlformats.org/officeDocument/2006/relationships/ctrlProp" Target="../ctrlProps/ctrlProp116.xml" /><Relationship Id="rId54" Type="http://schemas.openxmlformats.org/officeDocument/2006/relationships/ctrlProp" Target="../ctrlProps/ctrlProp129.xml" /><Relationship Id="rId62" Type="http://schemas.openxmlformats.org/officeDocument/2006/relationships/ctrlProp" Target="../ctrlProps/ctrlProp137.xml" /><Relationship Id="rId70" Type="http://schemas.openxmlformats.org/officeDocument/2006/relationships/ctrlProp" Target="../ctrlProps/ctrlProp145.xml" /><Relationship Id="rId75" Type="http://schemas.openxmlformats.org/officeDocument/2006/relationships/ctrlProp" Target="../ctrlProps/ctrlProp150.xml" /><Relationship Id="rId83" Type="http://schemas.openxmlformats.org/officeDocument/2006/relationships/table" Target="../tables/table5.xml" /><Relationship Id="rId1" Type="http://schemas.openxmlformats.org/officeDocument/2006/relationships/printerSettings" Target="../printerSettings/printerSettings2.bin" /><Relationship Id="rId6" Type="http://schemas.openxmlformats.org/officeDocument/2006/relationships/ctrlProp" Target="../ctrlProps/ctrlProp81.xml" /><Relationship Id="rId15" Type="http://schemas.openxmlformats.org/officeDocument/2006/relationships/ctrlProp" Target="../ctrlProps/ctrlProp90.xml" /><Relationship Id="rId23" Type="http://schemas.openxmlformats.org/officeDocument/2006/relationships/ctrlProp" Target="../ctrlProps/ctrlProp98.xml" /><Relationship Id="rId28" Type="http://schemas.openxmlformats.org/officeDocument/2006/relationships/ctrlProp" Target="../ctrlProps/ctrlProp103.xml" /><Relationship Id="rId36" Type="http://schemas.openxmlformats.org/officeDocument/2006/relationships/ctrlProp" Target="../ctrlProps/ctrlProp111.xml" /><Relationship Id="rId49" Type="http://schemas.openxmlformats.org/officeDocument/2006/relationships/ctrlProp" Target="../ctrlProps/ctrlProp124.xml" /><Relationship Id="rId57" Type="http://schemas.openxmlformats.org/officeDocument/2006/relationships/ctrlProp" Target="../ctrlProps/ctrlProp132.xml" 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66.xml" /><Relationship Id="rId18" Type="http://schemas.openxmlformats.org/officeDocument/2006/relationships/ctrlProp" Target="../ctrlProps/ctrlProp171.xml" /><Relationship Id="rId26" Type="http://schemas.openxmlformats.org/officeDocument/2006/relationships/ctrlProp" Target="../ctrlProps/ctrlProp179.xml" /><Relationship Id="rId39" Type="http://schemas.openxmlformats.org/officeDocument/2006/relationships/ctrlProp" Target="../ctrlProps/ctrlProp192.xml" /><Relationship Id="rId21" Type="http://schemas.openxmlformats.org/officeDocument/2006/relationships/ctrlProp" Target="../ctrlProps/ctrlProp174.xml" /><Relationship Id="rId34" Type="http://schemas.openxmlformats.org/officeDocument/2006/relationships/ctrlProp" Target="../ctrlProps/ctrlProp187.xml" /><Relationship Id="rId42" Type="http://schemas.openxmlformats.org/officeDocument/2006/relationships/ctrlProp" Target="../ctrlProps/ctrlProp195.xml" /><Relationship Id="rId47" Type="http://schemas.openxmlformats.org/officeDocument/2006/relationships/ctrlProp" Target="../ctrlProps/ctrlProp200.xml" /><Relationship Id="rId50" Type="http://schemas.openxmlformats.org/officeDocument/2006/relationships/ctrlProp" Target="../ctrlProps/ctrlProp203.xml" /><Relationship Id="rId55" Type="http://schemas.openxmlformats.org/officeDocument/2006/relationships/ctrlProp" Target="../ctrlProps/ctrlProp208.xml" /><Relationship Id="rId63" Type="http://schemas.openxmlformats.org/officeDocument/2006/relationships/ctrlProp" Target="../ctrlProps/ctrlProp216.xml" /><Relationship Id="rId68" Type="http://schemas.openxmlformats.org/officeDocument/2006/relationships/ctrlProp" Target="../ctrlProps/ctrlProp221.xml" /><Relationship Id="rId76" Type="http://schemas.openxmlformats.org/officeDocument/2006/relationships/ctrlProp" Target="../ctrlProps/ctrlProp229.xml" /><Relationship Id="rId84" Type="http://schemas.openxmlformats.org/officeDocument/2006/relationships/table" Target="../tables/table9.xml" /><Relationship Id="rId7" Type="http://schemas.openxmlformats.org/officeDocument/2006/relationships/ctrlProp" Target="../ctrlProps/ctrlProp160.xml" /><Relationship Id="rId71" Type="http://schemas.openxmlformats.org/officeDocument/2006/relationships/ctrlProp" Target="../ctrlProps/ctrlProp224.xml" /><Relationship Id="rId2" Type="http://schemas.openxmlformats.org/officeDocument/2006/relationships/drawing" Target="../drawings/drawing3.xml" /><Relationship Id="rId16" Type="http://schemas.openxmlformats.org/officeDocument/2006/relationships/ctrlProp" Target="../ctrlProps/ctrlProp169.xml" /><Relationship Id="rId29" Type="http://schemas.openxmlformats.org/officeDocument/2006/relationships/ctrlProp" Target="../ctrlProps/ctrlProp182.xml" /><Relationship Id="rId11" Type="http://schemas.openxmlformats.org/officeDocument/2006/relationships/ctrlProp" Target="../ctrlProps/ctrlProp164.xml" /><Relationship Id="rId24" Type="http://schemas.openxmlformats.org/officeDocument/2006/relationships/ctrlProp" Target="../ctrlProps/ctrlProp177.xml" /><Relationship Id="rId32" Type="http://schemas.openxmlformats.org/officeDocument/2006/relationships/ctrlProp" Target="../ctrlProps/ctrlProp185.xml" /><Relationship Id="rId37" Type="http://schemas.openxmlformats.org/officeDocument/2006/relationships/ctrlProp" Target="../ctrlProps/ctrlProp190.xml" /><Relationship Id="rId40" Type="http://schemas.openxmlformats.org/officeDocument/2006/relationships/ctrlProp" Target="../ctrlProps/ctrlProp193.xml" /><Relationship Id="rId45" Type="http://schemas.openxmlformats.org/officeDocument/2006/relationships/ctrlProp" Target="../ctrlProps/ctrlProp198.xml" /><Relationship Id="rId53" Type="http://schemas.openxmlformats.org/officeDocument/2006/relationships/ctrlProp" Target="../ctrlProps/ctrlProp206.xml" /><Relationship Id="rId58" Type="http://schemas.openxmlformats.org/officeDocument/2006/relationships/ctrlProp" Target="../ctrlProps/ctrlProp211.xml" /><Relationship Id="rId66" Type="http://schemas.openxmlformats.org/officeDocument/2006/relationships/ctrlProp" Target="../ctrlProps/ctrlProp219.xml" /><Relationship Id="rId74" Type="http://schemas.openxmlformats.org/officeDocument/2006/relationships/ctrlProp" Target="../ctrlProps/ctrlProp227.xml" /><Relationship Id="rId79" Type="http://schemas.openxmlformats.org/officeDocument/2006/relationships/ctrlProp" Target="../ctrlProps/ctrlProp232.xml" /><Relationship Id="rId5" Type="http://schemas.openxmlformats.org/officeDocument/2006/relationships/ctrlProp" Target="../ctrlProps/ctrlProp158.xml" /><Relationship Id="rId61" Type="http://schemas.openxmlformats.org/officeDocument/2006/relationships/ctrlProp" Target="../ctrlProps/ctrlProp214.xml" /><Relationship Id="rId82" Type="http://schemas.openxmlformats.org/officeDocument/2006/relationships/table" Target="../tables/table7.xml" /><Relationship Id="rId10" Type="http://schemas.openxmlformats.org/officeDocument/2006/relationships/ctrlProp" Target="../ctrlProps/ctrlProp163.xml" /><Relationship Id="rId19" Type="http://schemas.openxmlformats.org/officeDocument/2006/relationships/ctrlProp" Target="../ctrlProps/ctrlProp172.xml" /><Relationship Id="rId31" Type="http://schemas.openxmlformats.org/officeDocument/2006/relationships/ctrlProp" Target="../ctrlProps/ctrlProp184.xml" /><Relationship Id="rId44" Type="http://schemas.openxmlformats.org/officeDocument/2006/relationships/ctrlProp" Target="../ctrlProps/ctrlProp197.xml" /><Relationship Id="rId52" Type="http://schemas.openxmlformats.org/officeDocument/2006/relationships/ctrlProp" Target="../ctrlProps/ctrlProp205.xml" /><Relationship Id="rId60" Type="http://schemas.openxmlformats.org/officeDocument/2006/relationships/ctrlProp" Target="../ctrlProps/ctrlProp213.xml" /><Relationship Id="rId65" Type="http://schemas.openxmlformats.org/officeDocument/2006/relationships/ctrlProp" Target="../ctrlProps/ctrlProp218.xml" /><Relationship Id="rId73" Type="http://schemas.openxmlformats.org/officeDocument/2006/relationships/ctrlProp" Target="../ctrlProps/ctrlProp226.xml" /><Relationship Id="rId78" Type="http://schemas.openxmlformats.org/officeDocument/2006/relationships/ctrlProp" Target="../ctrlProps/ctrlProp231.xml" /><Relationship Id="rId81" Type="http://schemas.openxmlformats.org/officeDocument/2006/relationships/ctrlProp" Target="../ctrlProps/ctrlProp234.xml" /><Relationship Id="rId4" Type="http://schemas.openxmlformats.org/officeDocument/2006/relationships/ctrlProp" Target="../ctrlProps/ctrlProp157.xml" /><Relationship Id="rId9" Type="http://schemas.openxmlformats.org/officeDocument/2006/relationships/ctrlProp" Target="../ctrlProps/ctrlProp162.xml" /><Relationship Id="rId14" Type="http://schemas.openxmlformats.org/officeDocument/2006/relationships/ctrlProp" Target="../ctrlProps/ctrlProp167.xml" /><Relationship Id="rId22" Type="http://schemas.openxmlformats.org/officeDocument/2006/relationships/ctrlProp" Target="../ctrlProps/ctrlProp175.xml" /><Relationship Id="rId27" Type="http://schemas.openxmlformats.org/officeDocument/2006/relationships/ctrlProp" Target="../ctrlProps/ctrlProp180.xml" /><Relationship Id="rId30" Type="http://schemas.openxmlformats.org/officeDocument/2006/relationships/ctrlProp" Target="../ctrlProps/ctrlProp183.xml" /><Relationship Id="rId35" Type="http://schemas.openxmlformats.org/officeDocument/2006/relationships/ctrlProp" Target="../ctrlProps/ctrlProp188.xml" /><Relationship Id="rId43" Type="http://schemas.openxmlformats.org/officeDocument/2006/relationships/ctrlProp" Target="../ctrlProps/ctrlProp196.xml" /><Relationship Id="rId48" Type="http://schemas.openxmlformats.org/officeDocument/2006/relationships/ctrlProp" Target="../ctrlProps/ctrlProp201.xml" /><Relationship Id="rId56" Type="http://schemas.openxmlformats.org/officeDocument/2006/relationships/ctrlProp" Target="../ctrlProps/ctrlProp209.xml" /><Relationship Id="rId64" Type="http://schemas.openxmlformats.org/officeDocument/2006/relationships/ctrlProp" Target="../ctrlProps/ctrlProp217.xml" /><Relationship Id="rId69" Type="http://schemas.openxmlformats.org/officeDocument/2006/relationships/ctrlProp" Target="../ctrlProps/ctrlProp222.xml" /><Relationship Id="rId77" Type="http://schemas.openxmlformats.org/officeDocument/2006/relationships/ctrlProp" Target="../ctrlProps/ctrlProp230.xml" /><Relationship Id="rId8" Type="http://schemas.openxmlformats.org/officeDocument/2006/relationships/ctrlProp" Target="../ctrlProps/ctrlProp161.xml" /><Relationship Id="rId51" Type="http://schemas.openxmlformats.org/officeDocument/2006/relationships/ctrlProp" Target="../ctrlProps/ctrlProp204.xml" /><Relationship Id="rId72" Type="http://schemas.openxmlformats.org/officeDocument/2006/relationships/ctrlProp" Target="../ctrlProps/ctrlProp225.xml" /><Relationship Id="rId80" Type="http://schemas.openxmlformats.org/officeDocument/2006/relationships/ctrlProp" Target="../ctrlProps/ctrlProp233.xml" /><Relationship Id="rId3" Type="http://schemas.openxmlformats.org/officeDocument/2006/relationships/vmlDrawing" Target="../drawings/vmlDrawing3.vml" /><Relationship Id="rId12" Type="http://schemas.openxmlformats.org/officeDocument/2006/relationships/ctrlProp" Target="../ctrlProps/ctrlProp165.xml" /><Relationship Id="rId17" Type="http://schemas.openxmlformats.org/officeDocument/2006/relationships/ctrlProp" Target="../ctrlProps/ctrlProp170.xml" /><Relationship Id="rId25" Type="http://schemas.openxmlformats.org/officeDocument/2006/relationships/ctrlProp" Target="../ctrlProps/ctrlProp178.xml" /><Relationship Id="rId33" Type="http://schemas.openxmlformats.org/officeDocument/2006/relationships/ctrlProp" Target="../ctrlProps/ctrlProp186.xml" /><Relationship Id="rId38" Type="http://schemas.openxmlformats.org/officeDocument/2006/relationships/ctrlProp" Target="../ctrlProps/ctrlProp191.xml" /><Relationship Id="rId46" Type="http://schemas.openxmlformats.org/officeDocument/2006/relationships/ctrlProp" Target="../ctrlProps/ctrlProp199.xml" /><Relationship Id="rId59" Type="http://schemas.openxmlformats.org/officeDocument/2006/relationships/ctrlProp" Target="../ctrlProps/ctrlProp212.xml" /><Relationship Id="rId67" Type="http://schemas.openxmlformats.org/officeDocument/2006/relationships/ctrlProp" Target="../ctrlProps/ctrlProp220.xml" /><Relationship Id="rId20" Type="http://schemas.openxmlformats.org/officeDocument/2006/relationships/ctrlProp" Target="../ctrlProps/ctrlProp173.xml" /><Relationship Id="rId41" Type="http://schemas.openxmlformats.org/officeDocument/2006/relationships/ctrlProp" Target="../ctrlProps/ctrlProp194.xml" /><Relationship Id="rId54" Type="http://schemas.openxmlformats.org/officeDocument/2006/relationships/ctrlProp" Target="../ctrlProps/ctrlProp207.xml" /><Relationship Id="rId62" Type="http://schemas.openxmlformats.org/officeDocument/2006/relationships/ctrlProp" Target="../ctrlProps/ctrlProp215.xml" /><Relationship Id="rId70" Type="http://schemas.openxmlformats.org/officeDocument/2006/relationships/ctrlProp" Target="../ctrlProps/ctrlProp223.xml" /><Relationship Id="rId75" Type="http://schemas.openxmlformats.org/officeDocument/2006/relationships/ctrlProp" Target="../ctrlProps/ctrlProp228.xml" /><Relationship Id="rId83" Type="http://schemas.openxmlformats.org/officeDocument/2006/relationships/table" Target="../tables/table8.xml" /><Relationship Id="rId1" Type="http://schemas.openxmlformats.org/officeDocument/2006/relationships/printerSettings" Target="../printerSettings/printerSettings3.bin" /><Relationship Id="rId6" Type="http://schemas.openxmlformats.org/officeDocument/2006/relationships/ctrlProp" Target="../ctrlProps/ctrlProp159.xml" /><Relationship Id="rId15" Type="http://schemas.openxmlformats.org/officeDocument/2006/relationships/ctrlProp" Target="../ctrlProps/ctrlProp168.xml" /><Relationship Id="rId23" Type="http://schemas.openxmlformats.org/officeDocument/2006/relationships/ctrlProp" Target="../ctrlProps/ctrlProp176.xml" /><Relationship Id="rId28" Type="http://schemas.openxmlformats.org/officeDocument/2006/relationships/ctrlProp" Target="../ctrlProps/ctrlProp181.xml" /><Relationship Id="rId36" Type="http://schemas.openxmlformats.org/officeDocument/2006/relationships/ctrlProp" Target="../ctrlProps/ctrlProp189.xml" /><Relationship Id="rId49" Type="http://schemas.openxmlformats.org/officeDocument/2006/relationships/ctrlProp" Target="../ctrlProps/ctrlProp202.xml" /><Relationship Id="rId57" Type="http://schemas.openxmlformats.org/officeDocument/2006/relationships/ctrlProp" Target="../ctrlProps/ctrlProp210.xml" 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44.xml" /><Relationship Id="rId18" Type="http://schemas.openxmlformats.org/officeDocument/2006/relationships/ctrlProp" Target="../ctrlProps/ctrlProp249.xml" /><Relationship Id="rId26" Type="http://schemas.openxmlformats.org/officeDocument/2006/relationships/ctrlProp" Target="../ctrlProps/ctrlProp257.xml" /><Relationship Id="rId39" Type="http://schemas.openxmlformats.org/officeDocument/2006/relationships/ctrlProp" Target="../ctrlProps/ctrlProp270.xml" /><Relationship Id="rId21" Type="http://schemas.openxmlformats.org/officeDocument/2006/relationships/ctrlProp" Target="../ctrlProps/ctrlProp252.xml" /><Relationship Id="rId34" Type="http://schemas.openxmlformats.org/officeDocument/2006/relationships/ctrlProp" Target="../ctrlProps/ctrlProp265.xml" /><Relationship Id="rId42" Type="http://schemas.openxmlformats.org/officeDocument/2006/relationships/ctrlProp" Target="../ctrlProps/ctrlProp273.xml" /><Relationship Id="rId47" Type="http://schemas.openxmlformats.org/officeDocument/2006/relationships/ctrlProp" Target="../ctrlProps/ctrlProp278.xml" /><Relationship Id="rId50" Type="http://schemas.openxmlformats.org/officeDocument/2006/relationships/ctrlProp" Target="../ctrlProps/ctrlProp281.xml" /><Relationship Id="rId55" Type="http://schemas.openxmlformats.org/officeDocument/2006/relationships/ctrlProp" Target="../ctrlProps/ctrlProp286.xml" /><Relationship Id="rId63" Type="http://schemas.openxmlformats.org/officeDocument/2006/relationships/ctrlProp" Target="../ctrlProps/ctrlProp294.xml" /><Relationship Id="rId68" Type="http://schemas.openxmlformats.org/officeDocument/2006/relationships/ctrlProp" Target="../ctrlProps/ctrlProp299.xml" /><Relationship Id="rId76" Type="http://schemas.openxmlformats.org/officeDocument/2006/relationships/ctrlProp" Target="../ctrlProps/ctrlProp307.xml" /><Relationship Id="rId84" Type="http://schemas.openxmlformats.org/officeDocument/2006/relationships/table" Target="../tables/table12.xml" /><Relationship Id="rId7" Type="http://schemas.openxmlformats.org/officeDocument/2006/relationships/ctrlProp" Target="../ctrlProps/ctrlProp238.xml" /><Relationship Id="rId71" Type="http://schemas.openxmlformats.org/officeDocument/2006/relationships/ctrlProp" Target="../ctrlProps/ctrlProp302.xml" /><Relationship Id="rId2" Type="http://schemas.openxmlformats.org/officeDocument/2006/relationships/drawing" Target="../drawings/drawing4.xml" /><Relationship Id="rId16" Type="http://schemas.openxmlformats.org/officeDocument/2006/relationships/ctrlProp" Target="../ctrlProps/ctrlProp247.xml" /><Relationship Id="rId29" Type="http://schemas.openxmlformats.org/officeDocument/2006/relationships/ctrlProp" Target="../ctrlProps/ctrlProp260.xml" /><Relationship Id="rId11" Type="http://schemas.openxmlformats.org/officeDocument/2006/relationships/ctrlProp" Target="../ctrlProps/ctrlProp242.xml" /><Relationship Id="rId24" Type="http://schemas.openxmlformats.org/officeDocument/2006/relationships/ctrlProp" Target="../ctrlProps/ctrlProp255.xml" /><Relationship Id="rId32" Type="http://schemas.openxmlformats.org/officeDocument/2006/relationships/ctrlProp" Target="../ctrlProps/ctrlProp263.xml" /><Relationship Id="rId37" Type="http://schemas.openxmlformats.org/officeDocument/2006/relationships/ctrlProp" Target="../ctrlProps/ctrlProp268.xml" /><Relationship Id="rId40" Type="http://schemas.openxmlformats.org/officeDocument/2006/relationships/ctrlProp" Target="../ctrlProps/ctrlProp271.xml" /><Relationship Id="rId45" Type="http://schemas.openxmlformats.org/officeDocument/2006/relationships/ctrlProp" Target="../ctrlProps/ctrlProp276.xml" /><Relationship Id="rId53" Type="http://schemas.openxmlformats.org/officeDocument/2006/relationships/ctrlProp" Target="../ctrlProps/ctrlProp284.xml" /><Relationship Id="rId58" Type="http://schemas.openxmlformats.org/officeDocument/2006/relationships/ctrlProp" Target="../ctrlProps/ctrlProp289.xml" /><Relationship Id="rId66" Type="http://schemas.openxmlformats.org/officeDocument/2006/relationships/ctrlProp" Target="../ctrlProps/ctrlProp297.xml" /><Relationship Id="rId74" Type="http://schemas.openxmlformats.org/officeDocument/2006/relationships/ctrlProp" Target="../ctrlProps/ctrlProp305.xml" /><Relationship Id="rId79" Type="http://schemas.openxmlformats.org/officeDocument/2006/relationships/ctrlProp" Target="../ctrlProps/ctrlProp310.xml" /><Relationship Id="rId5" Type="http://schemas.openxmlformats.org/officeDocument/2006/relationships/ctrlProp" Target="../ctrlProps/ctrlProp236.xml" /><Relationship Id="rId61" Type="http://schemas.openxmlformats.org/officeDocument/2006/relationships/ctrlProp" Target="../ctrlProps/ctrlProp292.xml" /><Relationship Id="rId82" Type="http://schemas.openxmlformats.org/officeDocument/2006/relationships/table" Target="../tables/table10.xml" /><Relationship Id="rId10" Type="http://schemas.openxmlformats.org/officeDocument/2006/relationships/ctrlProp" Target="../ctrlProps/ctrlProp241.xml" /><Relationship Id="rId19" Type="http://schemas.openxmlformats.org/officeDocument/2006/relationships/ctrlProp" Target="../ctrlProps/ctrlProp250.xml" /><Relationship Id="rId31" Type="http://schemas.openxmlformats.org/officeDocument/2006/relationships/ctrlProp" Target="../ctrlProps/ctrlProp262.xml" /><Relationship Id="rId44" Type="http://schemas.openxmlformats.org/officeDocument/2006/relationships/ctrlProp" Target="../ctrlProps/ctrlProp275.xml" /><Relationship Id="rId52" Type="http://schemas.openxmlformats.org/officeDocument/2006/relationships/ctrlProp" Target="../ctrlProps/ctrlProp283.xml" /><Relationship Id="rId60" Type="http://schemas.openxmlformats.org/officeDocument/2006/relationships/ctrlProp" Target="../ctrlProps/ctrlProp291.xml" /><Relationship Id="rId65" Type="http://schemas.openxmlformats.org/officeDocument/2006/relationships/ctrlProp" Target="../ctrlProps/ctrlProp296.xml" /><Relationship Id="rId73" Type="http://schemas.openxmlformats.org/officeDocument/2006/relationships/ctrlProp" Target="../ctrlProps/ctrlProp304.xml" /><Relationship Id="rId78" Type="http://schemas.openxmlformats.org/officeDocument/2006/relationships/ctrlProp" Target="../ctrlProps/ctrlProp309.xml" /><Relationship Id="rId81" Type="http://schemas.openxmlformats.org/officeDocument/2006/relationships/ctrlProp" Target="../ctrlProps/ctrlProp312.xml" /><Relationship Id="rId4" Type="http://schemas.openxmlformats.org/officeDocument/2006/relationships/ctrlProp" Target="../ctrlProps/ctrlProp235.xml" /><Relationship Id="rId9" Type="http://schemas.openxmlformats.org/officeDocument/2006/relationships/ctrlProp" Target="../ctrlProps/ctrlProp240.xml" /><Relationship Id="rId14" Type="http://schemas.openxmlformats.org/officeDocument/2006/relationships/ctrlProp" Target="../ctrlProps/ctrlProp245.xml" /><Relationship Id="rId22" Type="http://schemas.openxmlformats.org/officeDocument/2006/relationships/ctrlProp" Target="../ctrlProps/ctrlProp253.xml" /><Relationship Id="rId27" Type="http://schemas.openxmlformats.org/officeDocument/2006/relationships/ctrlProp" Target="../ctrlProps/ctrlProp258.xml" /><Relationship Id="rId30" Type="http://schemas.openxmlformats.org/officeDocument/2006/relationships/ctrlProp" Target="../ctrlProps/ctrlProp261.xml" /><Relationship Id="rId35" Type="http://schemas.openxmlformats.org/officeDocument/2006/relationships/ctrlProp" Target="../ctrlProps/ctrlProp266.xml" /><Relationship Id="rId43" Type="http://schemas.openxmlformats.org/officeDocument/2006/relationships/ctrlProp" Target="../ctrlProps/ctrlProp274.xml" /><Relationship Id="rId48" Type="http://schemas.openxmlformats.org/officeDocument/2006/relationships/ctrlProp" Target="../ctrlProps/ctrlProp279.xml" /><Relationship Id="rId56" Type="http://schemas.openxmlformats.org/officeDocument/2006/relationships/ctrlProp" Target="../ctrlProps/ctrlProp287.xml" /><Relationship Id="rId64" Type="http://schemas.openxmlformats.org/officeDocument/2006/relationships/ctrlProp" Target="../ctrlProps/ctrlProp295.xml" /><Relationship Id="rId69" Type="http://schemas.openxmlformats.org/officeDocument/2006/relationships/ctrlProp" Target="../ctrlProps/ctrlProp300.xml" /><Relationship Id="rId77" Type="http://schemas.openxmlformats.org/officeDocument/2006/relationships/ctrlProp" Target="../ctrlProps/ctrlProp308.xml" /><Relationship Id="rId8" Type="http://schemas.openxmlformats.org/officeDocument/2006/relationships/ctrlProp" Target="../ctrlProps/ctrlProp239.xml" /><Relationship Id="rId51" Type="http://schemas.openxmlformats.org/officeDocument/2006/relationships/ctrlProp" Target="../ctrlProps/ctrlProp282.xml" /><Relationship Id="rId72" Type="http://schemas.openxmlformats.org/officeDocument/2006/relationships/ctrlProp" Target="../ctrlProps/ctrlProp303.xml" /><Relationship Id="rId80" Type="http://schemas.openxmlformats.org/officeDocument/2006/relationships/ctrlProp" Target="../ctrlProps/ctrlProp311.xml" /><Relationship Id="rId3" Type="http://schemas.openxmlformats.org/officeDocument/2006/relationships/vmlDrawing" Target="../drawings/vmlDrawing4.vml" /><Relationship Id="rId12" Type="http://schemas.openxmlformats.org/officeDocument/2006/relationships/ctrlProp" Target="../ctrlProps/ctrlProp243.xml" /><Relationship Id="rId17" Type="http://schemas.openxmlformats.org/officeDocument/2006/relationships/ctrlProp" Target="../ctrlProps/ctrlProp248.xml" /><Relationship Id="rId25" Type="http://schemas.openxmlformats.org/officeDocument/2006/relationships/ctrlProp" Target="../ctrlProps/ctrlProp256.xml" /><Relationship Id="rId33" Type="http://schemas.openxmlformats.org/officeDocument/2006/relationships/ctrlProp" Target="../ctrlProps/ctrlProp264.xml" /><Relationship Id="rId38" Type="http://schemas.openxmlformats.org/officeDocument/2006/relationships/ctrlProp" Target="../ctrlProps/ctrlProp269.xml" /><Relationship Id="rId46" Type="http://schemas.openxmlformats.org/officeDocument/2006/relationships/ctrlProp" Target="../ctrlProps/ctrlProp277.xml" /><Relationship Id="rId59" Type="http://schemas.openxmlformats.org/officeDocument/2006/relationships/ctrlProp" Target="../ctrlProps/ctrlProp290.xml" /><Relationship Id="rId67" Type="http://schemas.openxmlformats.org/officeDocument/2006/relationships/ctrlProp" Target="../ctrlProps/ctrlProp298.xml" /><Relationship Id="rId20" Type="http://schemas.openxmlformats.org/officeDocument/2006/relationships/ctrlProp" Target="../ctrlProps/ctrlProp251.xml" /><Relationship Id="rId41" Type="http://schemas.openxmlformats.org/officeDocument/2006/relationships/ctrlProp" Target="../ctrlProps/ctrlProp272.xml" /><Relationship Id="rId54" Type="http://schemas.openxmlformats.org/officeDocument/2006/relationships/ctrlProp" Target="../ctrlProps/ctrlProp285.xml" /><Relationship Id="rId62" Type="http://schemas.openxmlformats.org/officeDocument/2006/relationships/ctrlProp" Target="../ctrlProps/ctrlProp293.xml" /><Relationship Id="rId70" Type="http://schemas.openxmlformats.org/officeDocument/2006/relationships/ctrlProp" Target="../ctrlProps/ctrlProp301.xml" /><Relationship Id="rId75" Type="http://schemas.openxmlformats.org/officeDocument/2006/relationships/ctrlProp" Target="../ctrlProps/ctrlProp306.xml" /><Relationship Id="rId83" Type="http://schemas.openxmlformats.org/officeDocument/2006/relationships/table" Target="../tables/table11.xml" /><Relationship Id="rId1" Type="http://schemas.openxmlformats.org/officeDocument/2006/relationships/printerSettings" Target="../printerSettings/printerSettings4.bin" /><Relationship Id="rId6" Type="http://schemas.openxmlformats.org/officeDocument/2006/relationships/ctrlProp" Target="../ctrlProps/ctrlProp237.xml" /><Relationship Id="rId15" Type="http://schemas.openxmlformats.org/officeDocument/2006/relationships/ctrlProp" Target="../ctrlProps/ctrlProp246.xml" /><Relationship Id="rId23" Type="http://schemas.openxmlformats.org/officeDocument/2006/relationships/ctrlProp" Target="../ctrlProps/ctrlProp254.xml" /><Relationship Id="rId28" Type="http://schemas.openxmlformats.org/officeDocument/2006/relationships/ctrlProp" Target="../ctrlProps/ctrlProp259.xml" /><Relationship Id="rId36" Type="http://schemas.openxmlformats.org/officeDocument/2006/relationships/ctrlProp" Target="../ctrlProps/ctrlProp267.xml" /><Relationship Id="rId49" Type="http://schemas.openxmlformats.org/officeDocument/2006/relationships/ctrlProp" Target="../ctrlProps/ctrlProp280.xml" /><Relationship Id="rId57" Type="http://schemas.openxmlformats.org/officeDocument/2006/relationships/ctrlProp" Target="../ctrlProps/ctrlProp288.xml" 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22.xml" /><Relationship Id="rId18" Type="http://schemas.openxmlformats.org/officeDocument/2006/relationships/ctrlProp" Target="../ctrlProps/ctrlProp327.xml" /><Relationship Id="rId26" Type="http://schemas.openxmlformats.org/officeDocument/2006/relationships/ctrlProp" Target="../ctrlProps/ctrlProp335.xml" /><Relationship Id="rId39" Type="http://schemas.openxmlformats.org/officeDocument/2006/relationships/ctrlProp" Target="../ctrlProps/ctrlProp348.xml" /><Relationship Id="rId21" Type="http://schemas.openxmlformats.org/officeDocument/2006/relationships/ctrlProp" Target="../ctrlProps/ctrlProp330.xml" /><Relationship Id="rId34" Type="http://schemas.openxmlformats.org/officeDocument/2006/relationships/ctrlProp" Target="../ctrlProps/ctrlProp343.xml" /><Relationship Id="rId42" Type="http://schemas.openxmlformats.org/officeDocument/2006/relationships/ctrlProp" Target="../ctrlProps/ctrlProp351.xml" /><Relationship Id="rId47" Type="http://schemas.openxmlformats.org/officeDocument/2006/relationships/ctrlProp" Target="../ctrlProps/ctrlProp356.xml" /><Relationship Id="rId50" Type="http://schemas.openxmlformats.org/officeDocument/2006/relationships/ctrlProp" Target="../ctrlProps/ctrlProp359.xml" /><Relationship Id="rId55" Type="http://schemas.openxmlformats.org/officeDocument/2006/relationships/ctrlProp" Target="../ctrlProps/ctrlProp364.xml" /><Relationship Id="rId63" Type="http://schemas.openxmlformats.org/officeDocument/2006/relationships/ctrlProp" Target="../ctrlProps/ctrlProp372.xml" /><Relationship Id="rId68" Type="http://schemas.openxmlformats.org/officeDocument/2006/relationships/ctrlProp" Target="../ctrlProps/ctrlProp377.xml" /><Relationship Id="rId76" Type="http://schemas.openxmlformats.org/officeDocument/2006/relationships/ctrlProp" Target="../ctrlProps/ctrlProp385.xml" /><Relationship Id="rId84" Type="http://schemas.openxmlformats.org/officeDocument/2006/relationships/table" Target="../tables/table15.xml" /><Relationship Id="rId7" Type="http://schemas.openxmlformats.org/officeDocument/2006/relationships/ctrlProp" Target="../ctrlProps/ctrlProp316.xml" /><Relationship Id="rId71" Type="http://schemas.openxmlformats.org/officeDocument/2006/relationships/ctrlProp" Target="../ctrlProps/ctrlProp380.xml" /><Relationship Id="rId2" Type="http://schemas.openxmlformats.org/officeDocument/2006/relationships/drawing" Target="../drawings/drawing5.xml" /><Relationship Id="rId16" Type="http://schemas.openxmlformats.org/officeDocument/2006/relationships/ctrlProp" Target="../ctrlProps/ctrlProp325.xml" /><Relationship Id="rId29" Type="http://schemas.openxmlformats.org/officeDocument/2006/relationships/ctrlProp" Target="../ctrlProps/ctrlProp338.xml" /><Relationship Id="rId11" Type="http://schemas.openxmlformats.org/officeDocument/2006/relationships/ctrlProp" Target="../ctrlProps/ctrlProp320.xml" /><Relationship Id="rId24" Type="http://schemas.openxmlformats.org/officeDocument/2006/relationships/ctrlProp" Target="../ctrlProps/ctrlProp333.xml" /><Relationship Id="rId32" Type="http://schemas.openxmlformats.org/officeDocument/2006/relationships/ctrlProp" Target="../ctrlProps/ctrlProp341.xml" /><Relationship Id="rId37" Type="http://schemas.openxmlformats.org/officeDocument/2006/relationships/ctrlProp" Target="../ctrlProps/ctrlProp346.xml" /><Relationship Id="rId40" Type="http://schemas.openxmlformats.org/officeDocument/2006/relationships/ctrlProp" Target="../ctrlProps/ctrlProp349.xml" /><Relationship Id="rId45" Type="http://schemas.openxmlformats.org/officeDocument/2006/relationships/ctrlProp" Target="../ctrlProps/ctrlProp354.xml" /><Relationship Id="rId53" Type="http://schemas.openxmlformats.org/officeDocument/2006/relationships/ctrlProp" Target="../ctrlProps/ctrlProp362.xml" /><Relationship Id="rId58" Type="http://schemas.openxmlformats.org/officeDocument/2006/relationships/ctrlProp" Target="../ctrlProps/ctrlProp367.xml" /><Relationship Id="rId66" Type="http://schemas.openxmlformats.org/officeDocument/2006/relationships/ctrlProp" Target="../ctrlProps/ctrlProp375.xml" /><Relationship Id="rId74" Type="http://schemas.openxmlformats.org/officeDocument/2006/relationships/ctrlProp" Target="../ctrlProps/ctrlProp383.xml" /><Relationship Id="rId79" Type="http://schemas.openxmlformats.org/officeDocument/2006/relationships/ctrlProp" Target="../ctrlProps/ctrlProp388.xml" /><Relationship Id="rId5" Type="http://schemas.openxmlformats.org/officeDocument/2006/relationships/ctrlProp" Target="../ctrlProps/ctrlProp314.xml" /><Relationship Id="rId61" Type="http://schemas.openxmlformats.org/officeDocument/2006/relationships/ctrlProp" Target="../ctrlProps/ctrlProp370.xml" /><Relationship Id="rId82" Type="http://schemas.openxmlformats.org/officeDocument/2006/relationships/table" Target="../tables/table13.xml" /><Relationship Id="rId10" Type="http://schemas.openxmlformats.org/officeDocument/2006/relationships/ctrlProp" Target="../ctrlProps/ctrlProp319.xml" /><Relationship Id="rId19" Type="http://schemas.openxmlformats.org/officeDocument/2006/relationships/ctrlProp" Target="../ctrlProps/ctrlProp328.xml" /><Relationship Id="rId31" Type="http://schemas.openxmlformats.org/officeDocument/2006/relationships/ctrlProp" Target="../ctrlProps/ctrlProp340.xml" /><Relationship Id="rId44" Type="http://schemas.openxmlformats.org/officeDocument/2006/relationships/ctrlProp" Target="../ctrlProps/ctrlProp353.xml" /><Relationship Id="rId52" Type="http://schemas.openxmlformats.org/officeDocument/2006/relationships/ctrlProp" Target="../ctrlProps/ctrlProp361.xml" /><Relationship Id="rId60" Type="http://schemas.openxmlformats.org/officeDocument/2006/relationships/ctrlProp" Target="../ctrlProps/ctrlProp369.xml" /><Relationship Id="rId65" Type="http://schemas.openxmlformats.org/officeDocument/2006/relationships/ctrlProp" Target="../ctrlProps/ctrlProp374.xml" /><Relationship Id="rId73" Type="http://schemas.openxmlformats.org/officeDocument/2006/relationships/ctrlProp" Target="../ctrlProps/ctrlProp382.xml" /><Relationship Id="rId78" Type="http://schemas.openxmlformats.org/officeDocument/2006/relationships/ctrlProp" Target="../ctrlProps/ctrlProp387.xml" /><Relationship Id="rId81" Type="http://schemas.openxmlformats.org/officeDocument/2006/relationships/ctrlProp" Target="../ctrlProps/ctrlProp390.xml" /><Relationship Id="rId4" Type="http://schemas.openxmlformats.org/officeDocument/2006/relationships/ctrlProp" Target="../ctrlProps/ctrlProp313.xml" /><Relationship Id="rId9" Type="http://schemas.openxmlformats.org/officeDocument/2006/relationships/ctrlProp" Target="../ctrlProps/ctrlProp318.xml" /><Relationship Id="rId14" Type="http://schemas.openxmlformats.org/officeDocument/2006/relationships/ctrlProp" Target="../ctrlProps/ctrlProp323.xml" /><Relationship Id="rId22" Type="http://schemas.openxmlformats.org/officeDocument/2006/relationships/ctrlProp" Target="../ctrlProps/ctrlProp331.xml" /><Relationship Id="rId27" Type="http://schemas.openxmlformats.org/officeDocument/2006/relationships/ctrlProp" Target="../ctrlProps/ctrlProp336.xml" /><Relationship Id="rId30" Type="http://schemas.openxmlformats.org/officeDocument/2006/relationships/ctrlProp" Target="../ctrlProps/ctrlProp339.xml" /><Relationship Id="rId35" Type="http://schemas.openxmlformats.org/officeDocument/2006/relationships/ctrlProp" Target="../ctrlProps/ctrlProp344.xml" /><Relationship Id="rId43" Type="http://schemas.openxmlformats.org/officeDocument/2006/relationships/ctrlProp" Target="../ctrlProps/ctrlProp352.xml" /><Relationship Id="rId48" Type="http://schemas.openxmlformats.org/officeDocument/2006/relationships/ctrlProp" Target="../ctrlProps/ctrlProp357.xml" /><Relationship Id="rId56" Type="http://schemas.openxmlformats.org/officeDocument/2006/relationships/ctrlProp" Target="../ctrlProps/ctrlProp365.xml" /><Relationship Id="rId64" Type="http://schemas.openxmlformats.org/officeDocument/2006/relationships/ctrlProp" Target="../ctrlProps/ctrlProp373.xml" /><Relationship Id="rId69" Type="http://schemas.openxmlformats.org/officeDocument/2006/relationships/ctrlProp" Target="../ctrlProps/ctrlProp378.xml" /><Relationship Id="rId77" Type="http://schemas.openxmlformats.org/officeDocument/2006/relationships/ctrlProp" Target="../ctrlProps/ctrlProp386.xml" /><Relationship Id="rId8" Type="http://schemas.openxmlformats.org/officeDocument/2006/relationships/ctrlProp" Target="../ctrlProps/ctrlProp317.xml" /><Relationship Id="rId51" Type="http://schemas.openxmlformats.org/officeDocument/2006/relationships/ctrlProp" Target="../ctrlProps/ctrlProp360.xml" /><Relationship Id="rId72" Type="http://schemas.openxmlformats.org/officeDocument/2006/relationships/ctrlProp" Target="../ctrlProps/ctrlProp381.xml" /><Relationship Id="rId80" Type="http://schemas.openxmlformats.org/officeDocument/2006/relationships/ctrlProp" Target="../ctrlProps/ctrlProp389.xml" /><Relationship Id="rId3" Type="http://schemas.openxmlformats.org/officeDocument/2006/relationships/vmlDrawing" Target="../drawings/vmlDrawing5.vml" /><Relationship Id="rId12" Type="http://schemas.openxmlformats.org/officeDocument/2006/relationships/ctrlProp" Target="../ctrlProps/ctrlProp321.xml" /><Relationship Id="rId17" Type="http://schemas.openxmlformats.org/officeDocument/2006/relationships/ctrlProp" Target="../ctrlProps/ctrlProp326.xml" /><Relationship Id="rId25" Type="http://schemas.openxmlformats.org/officeDocument/2006/relationships/ctrlProp" Target="../ctrlProps/ctrlProp334.xml" /><Relationship Id="rId33" Type="http://schemas.openxmlformats.org/officeDocument/2006/relationships/ctrlProp" Target="../ctrlProps/ctrlProp342.xml" /><Relationship Id="rId38" Type="http://schemas.openxmlformats.org/officeDocument/2006/relationships/ctrlProp" Target="../ctrlProps/ctrlProp347.xml" /><Relationship Id="rId46" Type="http://schemas.openxmlformats.org/officeDocument/2006/relationships/ctrlProp" Target="../ctrlProps/ctrlProp355.xml" /><Relationship Id="rId59" Type="http://schemas.openxmlformats.org/officeDocument/2006/relationships/ctrlProp" Target="../ctrlProps/ctrlProp368.xml" /><Relationship Id="rId67" Type="http://schemas.openxmlformats.org/officeDocument/2006/relationships/ctrlProp" Target="../ctrlProps/ctrlProp376.xml" /><Relationship Id="rId20" Type="http://schemas.openxmlformats.org/officeDocument/2006/relationships/ctrlProp" Target="../ctrlProps/ctrlProp329.xml" /><Relationship Id="rId41" Type="http://schemas.openxmlformats.org/officeDocument/2006/relationships/ctrlProp" Target="../ctrlProps/ctrlProp350.xml" /><Relationship Id="rId54" Type="http://schemas.openxmlformats.org/officeDocument/2006/relationships/ctrlProp" Target="../ctrlProps/ctrlProp363.xml" /><Relationship Id="rId62" Type="http://schemas.openxmlformats.org/officeDocument/2006/relationships/ctrlProp" Target="../ctrlProps/ctrlProp371.xml" /><Relationship Id="rId70" Type="http://schemas.openxmlformats.org/officeDocument/2006/relationships/ctrlProp" Target="../ctrlProps/ctrlProp379.xml" /><Relationship Id="rId75" Type="http://schemas.openxmlformats.org/officeDocument/2006/relationships/ctrlProp" Target="../ctrlProps/ctrlProp384.xml" /><Relationship Id="rId83" Type="http://schemas.openxmlformats.org/officeDocument/2006/relationships/table" Target="../tables/table14.xml" /><Relationship Id="rId1" Type="http://schemas.openxmlformats.org/officeDocument/2006/relationships/printerSettings" Target="../printerSettings/printerSettings5.bin" /><Relationship Id="rId6" Type="http://schemas.openxmlformats.org/officeDocument/2006/relationships/ctrlProp" Target="../ctrlProps/ctrlProp315.xml" /><Relationship Id="rId15" Type="http://schemas.openxmlformats.org/officeDocument/2006/relationships/ctrlProp" Target="../ctrlProps/ctrlProp324.xml" /><Relationship Id="rId23" Type="http://schemas.openxmlformats.org/officeDocument/2006/relationships/ctrlProp" Target="../ctrlProps/ctrlProp332.xml" /><Relationship Id="rId28" Type="http://schemas.openxmlformats.org/officeDocument/2006/relationships/ctrlProp" Target="../ctrlProps/ctrlProp337.xml" /><Relationship Id="rId36" Type="http://schemas.openxmlformats.org/officeDocument/2006/relationships/ctrlProp" Target="../ctrlProps/ctrlProp345.xml" /><Relationship Id="rId49" Type="http://schemas.openxmlformats.org/officeDocument/2006/relationships/ctrlProp" Target="../ctrlProps/ctrlProp358.xml" /><Relationship Id="rId57" Type="http://schemas.openxmlformats.org/officeDocument/2006/relationships/ctrlProp" Target="../ctrlProps/ctrlProp366.xml" 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00.xml" /><Relationship Id="rId18" Type="http://schemas.openxmlformats.org/officeDocument/2006/relationships/ctrlProp" Target="../ctrlProps/ctrlProp405.xml" /><Relationship Id="rId26" Type="http://schemas.openxmlformats.org/officeDocument/2006/relationships/ctrlProp" Target="../ctrlProps/ctrlProp413.xml" /><Relationship Id="rId39" Type="http://schemas.openxmlformats.org/officeDocument/2006/relationships/ctrlProp" Target="../ctrlProps/ctrlProp426.xml" /><Relationship Id="rId21" Type="http://schemas.openxmlformats.org/officeDocument/2006/relationships/ctrlProp" Target="../ctrlProps/ctrlProp408.xml" /><Relationship Id="rId34" Type="http://schemas.openxmlformats.org/officeDocument/2006/relationships/ctrlProp" Target="../ctrlProps/ctrlProp421.xml" /><Relationship Id="rId42" Type="http://schemas.openxmlformats.org/officeDocument/2006/relationships/ctrlProp" Target="../ctrlProps/ctrlProp429.xml" /><Relationship Id="rId47" Type="http://schemas.openxmlformats.org/officeDocument/2006/relationships/ctrlProp" Target="../ctrlProps/ctrlProp434.xml" /><Relationship Id="rId50" Type="http://schemas.openxmlformats.org/officeDocument/2006/relationships/ctrlProp" Target="../ctrlProps/ctrlProp437.xml" /><Relationship Id="rId55" Type="http://schemas.openxmlformats.org/officeDocument/2006/relationships/ctrlProp" Target="../ctrlProps/ctrlProp442.xml" /><Relationship Id="rId63" Type="http://schemas.openxmlformats.org/officeDocument/2006/relationships/ctrlProp" Target="../ctrlProps/ctrlProp450.xml" /><Relationship Id="rId68" Type="http://schemas.openxmlformats.org/officeDocument/2006/relationships/ctrlProp" Target="../ctrlProps/ctrlProp455.xml" /><Relationship Id="rId76" Type="http://schemas.openxmlformats.org/officeDocument/2006/relationships/ctrlProp" Target="../ctrlProps/ctrlProp463.xml" /><Relationship Id="rId84" Type="http://schemas.openxmlformats.org/officeDocument/2006/relationships/table" Target="../tables/table18.xml" /><Relationship Id="rId7" Type="http://schemas.openxmlformats.org/officeDocument/2006/relationships/ctrlProp" Target="../ctrlProps/ctrlProp394.xml" /><Relationship Id="rId71" Type="http://schemas.openxmlformats.org/officeDocument/2006/relationships/ctrlProp" Target="../ctrlProps/ctrlProp458.xml" /><Relationship Id="rId2" Type="http://schemas.openxmlformats.org/officeDocument/2006/relationships/drawing" Target="../drawings/drawing6.xml" /><Relationship Id="rId16" Type="http://schemas.openxmlformats.org/officeDocument/2006/relationships/ctrlProp" Target="../ctrlProps/ctrlProp403.xml" /><Relationship Id="rId29" Type="http://schemas.openxmlformats.org/officeDocument/2006/relationships/ctrlProp" Target="../ctrlProps/ctrlProp416.xml" /><Relationship Id="rId11" Type="http://schemas.openxmlformats.org/officeDocument/2006/relationships/ctrlProp" Target="../ctrlProps/ctrlProp398.xml" /><Relationship Id="rId24" Type="http://schemas.openxmlformats.org/officeDocument/2006/relationships/ctrlProp" Target="../ctrlProps/ctrlProp411.xml" /><Relationship Id="rId32" Type="http://schemas.openxmlformats.org/officeDocument/2006/relationships/ctrlProp" Target="../ctrlProps/ctrlProp419.xml" /><Relationship Id="rId37" Type="http://schemas.openxmlformats.org/officeDocument/2006/relationships/ctrlProp" Target="../ctrlProps/ctrlProp424.xml" /><Relationship Id="rId40" Type="http://schemas.openxmlformats.org/officeDocument/2006/relationships/ctrlProp" Target="../ctrlProps/ctrlProp427.xml" /><Relationship Id="rId45" Type="http://schemas.openxmlformats.org/officeDocument/2006/relationships/ctrlProp" Target="../ctrlProps/ctrlProp432.xml" /><Relationship Id="rId53" Type="http://schemas.openxmlformats.org/officeDocument/2006/relationships/ctrlProp" Target="../ctrlProps/ctrlProp440.xml" /><Relationship Id="rId58" Type="http://schemas.openxmlformats.org/officeDocument/2006/relationships/ctrlProp" Target="../ctrlProps/ctrlProp445.xml" /><Relationship Id="rId66" Type="http://schemas.openxmlformats.org/officeDocument/2006/relationships/ctrlProp" Target="../ctrlProps/ctrlProp453.xml" /><Relationship Id="rId74" Type="http://schemas.openxmlformats.org/officeDocument/2006/relationships/ctrlProp" Target="../ctrlProps/ctrlProp461.xml" /><Relationship Id="rId79" Type="http://schemas.openxmlformats.org/officeDocument/2006/relationships/ctrlProp" Target="../ctrlProps/ctrlProp466.xml" /><Relationship Id="rId5" Type="http://schemas.openxmlformats.org/officeDocument/2006/relationships/ctrlProp" Target="../ctrlProps/ctrlProp392.xml" /><Relationship Id="rId61" Type="http://schemas.openxmlformats.org/officeDocument/2006/relationships/ctrlProp" Target="../ctrlProps/ctrlProp448.xml" /><Relationship Id="rId82" Type="http://schemas.openxmlformats.org/officeDocument/2006/relationships/table" Target="../tables/table16.xml" /><Relationship Id="rId10" Type="http://schemas.openxmlformats.org/officeDocument/2006/relationships/ctrlProp" Target="../ctrlProps/ctrlProp397.xml" /><Relationship Id="rId19" Type="http://schemas.openxmlformats.org/officeDocument/2006/relationships/ctrlProp" Target="../ctrlProps/ctrlProp406.xml" /><Relationship Id="rId31" Type="http://schemas.openxmlformats.org/officeDocument/2006/relationships/ctrlProp" Target="../ctrlProps/ctrlProp418.xml" /><Relationship Id="rId44" Type="http://schemas.openxmlformats.org/officeDocument/2006/relationships/ctrlProp" Target="../ctrlProps/ctrlProp431.xml" /><Relationship Id="rId52" Type="http://schemas.openxmlformats.org/officeDocument/2006/relationships/ctrlProp" Target="../ctrlProps/ctrlProp439.xml" /><Relationship Id="rId60" Type="http://schemas.openxmlformats.org/officeDocument/2006/relationships/ctrlProp" Target="../ctrlProps/ctrlProp447.xml" /><Relationship Id="rId65" Type="http://schemas.openxmlformats.org/officeDocument/2006/relationships/ctrlProp" Target="../ctrlProps/ctrlProp452.xml" /><Relationship Id="rId73" Type="http://schemas.openxmlformats.org/officeDocument/2006/relationships/ctrlProp" Target="../ctrlProps/ctrlProp460.xml" /><Relationship Id="rId78" Type="http://schemas.openxmlformats.org/officeDocument/2006/relationships/ctrlProp" Target="../ctrlProps/ctrlProp465.xml" /><Relationship Id="rId81" Type="http://schemas.openxmlformats.org/officeDocument/2006/relationships/ctrlProp" Target="../ctrlProps/ctrlProp468.xml" /><Relationship Id="rId4" Type="http://schemas.openxmlformats.org/officeDocument/2006/relationships/ctrlProp" Target="../ctrlProps/ctrlProp391.xml" /><Relationship Id="rId9" Type="http://schemas.openxmlformats.org/officeDocument/2006/relationships/ctrlProp" Target="../ctrlProps/ctrlProp396.xml" /><Relationship Id="rId14" Type="http://schemas.openxmlformats.org/officeDocument/2006/relationships/ctrlProp" Target="../ctrlProps/ctrlProp401.xml" /><Relationship Id="rId22" Type="http://schemas.openxmlformats.org/officeDocument/2006/relationships/ctrlProp" Target="../ctrlProps/ctrlProp409.xml" /><Relationship Id="rId27" Type="http://schemas.openxmlformats.org/officeDocument/2006/relationships/ctrlProp" Target="../ctrlProps/ctrlProp414.xml" /><Relationship Id="rId30" Type="http://schemas.openxmlformats.org/officeDocument/2006/relationships/ctrlProp" Target="../ctrlProps/ctrlProp417.xml" /><Relationship Id="rId35" Type="http://schemas.openxmlformats.org/officeDocument/2006/relationships/ctrlProp" Target="../ctrlProps/ctrlProp422.xml" /><Relationship Id="rId43" Type="http://schemas.openxmlformats.org/officeDocument/2006/relationships/ctrlProp" Target="../ctrlProps/ctrlProp430.xml" /><Relationship Id="rId48" Type="http://schemas.openxmlformats.org/officeDocument/2006/relationships/ctrlProp" Target="../ctrlProps/ctrlProp435.xml" /><Relationship Id="rId56" Type="http://schemas.openxmlformats.org/officeDocument/2006/relationships/ctrlProp" Target="../ctrlProps/ctrlProp443.xml" /><Relationship Id="rId64" Type="http://schemas.openxmlformats.org/officeDocument/2006/relationships/ctrlProp" Target="../ctrlProps/ctrlProp451.xml" /><Relationship Id="rId69" Type="http://schemas.openxmlformats.org/officeDocument/2006/relationships/ctrlProp" Target="../ctrlProps/ctrlProp456.xml" /><Relationship Id="rId77" Type="http://schemas.openxmlformats.org/officeDocument/2006/relationships/ctrlProp" Target="../ctrlProps/ctrlProp464.xml" /><Relationship Id="rId8" Type="http://schemas.openxmlformats.org/officeDocument/2006/relationships/ctrlProp" Target="../ctrlProps/ctrlProp395.xml" /><Relationship Id="rId51" Type="http://schemas.openxmlformats.org/officeDocument/2006/relationships/ctrlProp" Target="../ctrlProps/ctrlProp438.xml" /><Relationship Id="rId72" Type="http://schemas.openxmlformats.org/officeDocument/2006/relationships/ctrlProp" Target="../ctrlProps/ctrlProp459.xml" /><Relationship Id="rId80" Type="http://schemas.openxmlformats.org/officeDocument/2006/relationships/ctrlProp" Target="../ctrlProps/ctrlProp467.xml" /><Relationship Id="rId3" Type="http://schemas.openxmlformats.org/officeDocument/2006/relationships/vmlDrawing" Target="../drawings/vmlDrawing6.vml" /><Relationship Id="rId12" Type="http://schemas.openxmlformats.org/officeDocument/2006/relationships/ctrlProp" Target="../ctrlProps/ctrlProp399.xml" /><Relationship Id="rId17" Type="http://schemas.openxmlformats.org/officeDocument/2006/relationships/ctrlProp" Target="../ctrlProps/ctrlProp404.xml" /><Relationship Id="rId25" Type="http://schemas.openxmlformats.org/officeDocument/2006/relationships/ctrlProp" Target="../ctrlProps/ctrlProp412.xml" /><Relationship Id="rId33" Type="http://schemas.openxmlformats.org/officeDocument/2006/relationships/ctrlProp" Target="../ctrlProps/ctrlProp420.xml" /><Relationship Id="rId38" Type="http://schemas.openxmlformats.org/officeDocument/2006/relationships/ctrlProp" Target="../ctrlProps/ctrlProp425.xml" /><Relationship Id="rId46" Type="http://schemas.openxmlformats.org/officeDocument/2006/relationships/ctrlProp" Target="../ctrlProps/ctrlProp433.xml" /><Relationship Id="rId59" Type="http://schemas.openxmlformats.org/officeDocument/2006/relationships/ctrlProp" Target="../ctrlProps/ctrlProp446.xml" /><Relationship Id="rId67" Type="http://schemas.openxmlformats.org/officeDocument/2006/relationships/ctrlProp" Target="../ctrlProps/ctrlProp454.xml" /><Relationship Id="rId20" Type="http://schemas.openxmlformats.org/officeDocument/2006/relationships/ctrlProp" Target="../ctrlProps/ctrlProp407.xml" /><Relationship Id="rId41" Type="http://schemas.openxmlformats.org/officeDocument/2006/relationships/ctrlProp" Target="../ctrlProps/ctrlProp428.xml" /><Relationship Id="rId54" Type="http://schemas.openxmlformats.org/officeDocument/2006/relationships/ctrlProp" Target="../ctrlProps/ctrlProp441.xml" /><Relationship Id="rId62" Type="http://schemas.openxmlformats.org/officeDocument/2006/relationships/ctrlProp" Target="../ctrlProps/ctrlProp449.xml" /><Relationship Id="rId70" Type="http://schemas.openxmlformats.org/officeDocument/2006/relationships/ctrlProp" Target="../ctrlProps/ctrlProp457.xml" /><Relationship Id="rId75" Type="http://schemas.openxmlformats.org/officeDocument/2006/relationships/ctrlProp" Target="../ctrlProps/ctrlProp462.xml" /><Relationship Id="rId83" Type="http://schemas.openxmlformats.org/officeDocument/2006/relationships/table" Target="../tables/table17.xml" /><Relationship Id="rId1" Type="http://schemas.openxmlformats.org/officeDocument/2006/relationships/printerSettings" Target="../printerSettings/printerSettings6.bin" /><Relationship Id="rId6" Type="http://schemas.openxmlformats.org/officeDocument/2006/relationships/ctrlProp" Target="../ctrlProps/ctrlProp393.xml" /><Relationship Id="rId15" Type="http://schemas.openxmlformats.org/officeDocument/2006/relationships/ctrlProp" Target="../ctrlProps/ctrlProp402.xml" /><Relationship Id="rId23" Type="http://schemas.openxmlformats.org/officeDocument/2006/relationships/ctrlProp" Target="../ctrlProps/ctrlProp410.xml" /><Relationship Id="rId28" Type="http://schemas.openxmlformats.org/officeDocument/2006/relationships/ctrlProp" Target="../ctrlProps/ctrlProp415.xml" /><Relationship Id="rId36" Type="http://schemas.openxmlformats.org/officeDocument/2006/relationships/ctrlProp" Target="../ctrlProps/ctrlProp423.xml" /><Relationship Id="rId49" Type="http://schemas.openxmlformats.org/officeDocument/2006/relationships/ctrlProp" Target="../ctrlProps/ctrlProp436.xml" /><Relationship Id="rId57" Type="http://schemas.openxmlformats.org/officeDocument/2006/relationships/ctrlProp" Target="../ctrlProps/ctrlProp444.xml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W328"/>
  <sheetViews>
    <sheetView showGridLines="0" showRowColHeaders="0" topLeftCell="A245" zoomScale="80" zoomScaleNormal="80" zoomScaleSheetLayoutView="73" workbookViewId="0">
      <selection activeCell="D9" sqref="D9:H9"/>
    </sheetView>
  </sheetViews>
  <sheetFormatPr defaultColWidth="0" defaultRowHeight="15" zeroHeight="1" x14ac:dyDescent="0.2"/>
  <cols>
    <col min="1" max="1" width="5.24609375" customWidth="1"/>
    <col min="2" max="2" width="1.61328125" customWidth="1"/>
    <col min="3" max="3" width="1.4765625" customWidth="1"/>
    <col min="4" max="4" width="14.66015625" customWidth="1"/>
    <col min="5" max="5" width="2.6875" customWidth="1"/>
    <col min="6" max="6" width="14.66015625" customWidth="1"/>
    <col min="7" max="7" width="2.6875" customWidth="1"/>
    <col min="8" max="8" width="16.0078125" bestFit="1" customWidth="1"/>
    <col min="9" max="9" width="2.6875" customWidth="1"/>
    <col min="10" max="10" width="16.94921875" customWidth="1"/>
    <col min="11" max="11" width="2.6875" customWidth="1"/>
    <col min="12" max="12" width="14.66015625" customWidth="1"/>
    <col min="13" max="13" width="2.6875" customWidth="1"/>
    <col min="14" max="14" width="14.66015625" customWidth="1"/>
    <col min="15" max="15" width="2.6875" customWidth="1"/>
    <col min="16" max="16" width="1.34375" customWidth="1"/>
    <col min="17" max="17" width="1.61328125" customWidth="1"/>
    <col min="18" max="18" width="9.14453125" hidden="1" customWidth="1"/>
    <col min="19" max="19" width="18.16015625" hidden="1" customWidth="1"/>
    <col min="20" max="20" width="12.375" hidden="1" customWidth="1"/>
    <col min="21" max="21" width="9.14453125" hidden="1" customWidth="1"/>
    <col min="22" max="22" width="20.984375" hidden="1" customWidth="1"/>
    <col min="23" max="25" width="9.14453125" hidden="1" customWidth="1"/>
    <col min="26" max="26" width="10.4921875" hidden="1" customWidth="1"/>
    <col min="27" max="30" width="9.14453125" hidden="1" customWidth="1"/>
    <col min="31" max="31" width="9.14453125" style="79" hidden="1" customWidth="1"/>
    <col min="32" max="74" width="9.14453125" hidden="1" customWidth="1"/>
    <col min="75" max="75" width="9.14453125" style="79" hidden="1" customWidth="1"/>
    <col min="76" max="79" width="9.14453125" hidden="1" customWidth="1"/>
    <col min="80" max="80" width="16.8125" hidden="1" customWidth="1"/>
    <col min="81" max="83" width="9.14453125" hidden="1" customWidth="1"/>
    <col min="84" max="84" width="19.37109375" hidden="1" customWidth="1"/>
    <col min="85" max="90" width="9.14453125" hidden="1" customWidth="1"/>
    <col min="91" max="91" width="10.4921875" hidden="1" customWidth="1"/>
    <col min="92" max="92" width="9.14453125" hidden="1" customWidth="1"/>
    <col min="93" max="93" width="10.625" hidden="1" customWidth="1"/>
    <col min="94" max="120" width="9.14453125" hidden="1" customWidth="1"/>
    <col min="121" max="121" width="9.14453125" style="79" hidden="1" customWidth="1"/>
    <col min="122" max="152" width="9.14453125" hidden="1" customWidth="1"/>
    <col min="153" max="153" width="9.14453125" style="79" hidden="1" customWidth="1"/>
    <col min="154" max="16384" width="9.14453125" hidden="1"/>
  </cols>
  <sheetData>
    <row r="1" spans="2:146" ht="15" customHeight="1" x14ac:dyDescent="0.2"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L1" t="s">
        <v>96</v>
      </c>
    </row>
    <row r="2" spans="2:146" ht="15" customHeight="1" x14ac:dyDescent="0.2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AF2" s="10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L2" t="s">
        <v>97</v>
      </c>
    </row>
    <row r="3" spans="2:146" ht="15" customHeight="1" x14ac:dyDescent="0.2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DS3" s="162"/>
      <c r="DT3" s="162"/>
      <c r="DU3" s="162"/>
      <c r="DV3" s="162"/>
      <c r="DW3" s="162"/>
      <c r="DY3" s="162"/>
      <c r="DZ3" s="162"/>
      <c r="EA3" s="162"/>
      <c r="EB3" s="162"/>
      <c r="EC3" s="162"/>
      <c r="ED3" s="162"/>
      <c r="EE3" s="162"/>
      <c r="EJ3" t="s">
        <v>95</v>
      </c>
    </row>
    <row r="4" spans="2:146" ht="15" customHeight="1" x14ac:dyDescent="0.2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7"/>
      <c r="Q4" s="22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J4" s="4">
        <f>IF(DZ9="feminino",0,1)</f>
        <v>1</v>
      </c>
    </row>
    <row r="5" spans="2:146" ht="15" customHeight="1" x14ac:dyDescent="0.2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7"/>
      <c r="Q5" s="22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J5" s="4"/>
    </row>
    <row r="6" spans="2:146" ht="15" customHeight="1" thickBot="1" x14ac:dyDescent="0.25">
      <c r="B6" s="227"/>
      <c r="C6" s="228"/>
      <c r="D6" s="228"/>
      <c r="E6" s="228"/>
      <c r="F6" s="228"/>
      <c r="G6" s="228"/>
      <c r="H6" s="228"/>
      <c r="I6" s="228"/>
      <c r="J6" s="228"/>
      <c r="K6" s="456"/>
      <c r="L6" s="456"/>
      <c r="M6" s="456"/>
      <c r="N6" s="229"/>
      <c r="O6" s="228"/>
      <c r="P6" s="227"/>
      <c r="Q6" s="227"/>
      <c r="AG6" s="46"/>
      <c r="AH6" s="46"/>
      <c r="AI6" s="46"/>
      <c r="AJ6" s="46"/>
      <c r="AK6" s="46"/>
      <c r="AL6" s="129"/>
      <c r="AM6" s="129"/>
      <c r="AN6" s="129"/>
      <c r="AO6" s="46"/>
      <c r="AP6" s="46"/>
      <c r="AQ6" s="46"/>
      <c r="AR6" s="46"/>
      <c r="AS6" s="46"/>
      <c r="BC6" s="109" t="s">
        <v>133</v>
      </c>
      <c r="BD6" s="109" t="s">
        <v>132</v>
      </c>
      <c r="BE6" s="109" t="s">
        <v>134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M6" s="109"/>
      <c r="CN6" s="109"/>
      <c r="CO6" s="109"/>
      <c r="DO6" s="42" t="s">
        <v>138</v>
      </c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G6" t="e">
        <f>DV11*DV26</f>
        <v>#VALUE!</v>
      </c>
    </row>
    <row r="7" spans="2:146" ht="15" customHeight="1" x14ac:dyDescent="0.2">
      <c r="B7" s="227"/>
      <c r="C7" s="374" t="s">
        <v>201</v>
      </c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227"/>
      <c r="BC7" s="109" t="str">
        <f>AX14</f>
        <v>-</v>
      </c>
      <c r="BD7" s="109">
        <f>AV15</f>
        <v>1</v>
      </c>
      <c r="BE7" s="32" t="str">
        <f>AZ13</f>
        <v>-</v>
      </c>
      <c r="CM7" s="109"/>
      <c r="CN7" s="109"/>
      <c r="CO7" s="32"/>
      <c r="DM7" s="42" t="s">
        <v>133</v>
      </c>
      <c r="DO7" s="42">
        <f>CB31</f>
        <v>-11.2</v>
      </c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I7" s="17" t="s">
        <v>46</v>
      </c>
    </row>
    <row r="8" spans="2:146" x14ac:dyDescent="0.2">
      <c r="B8" s="227"/>
      <c r="C8" s="238"/>
      <c r="D8" s="276" t="s">
        <v>0</v>
      </c>
      <c r="E8" s="276"/>
      <c r="F8" s="276"/>
      <c r="G8" s="276"/>
      <c r="H8" s="276"/>
      <c r="I8" s="276"/>
      <c r="J8" s="276" t="s">
        <v>1</v>
      </c>
      <c r="K8" s="276"/>
      <c r="L8" s="276" t="s">
        <v>3</v>
      </c>
      <c r="M8" s="276"/>
      <c r="N8" s="276" t="s">
        <v>2</v>
      </c>
      <c r="O8" s="276"/>
      <c r="P8" s="277"/>
      <c r="Q8" s="227"/>
      <c r="BC8" s="109" t="str">
        <f t="shared" ref="BC8:BE10" si="0">BC7</f>
        <v>-</v>
      </c>
      <c r="BD8" s="109">
        <f t="shared" si="0"/>
        <v>1</v>
      </c>
      <c r="BE8" s="32" t="str">
        <f t="shared" si="0"/>
        <v>-</v>
      </c>
      <c r="CM8" s="32" t="e">
        <f>CF31</f>
        <v>#VALUE!</v>
      </c>
      <c r="CN8" s="109"/>
      <c r="CO8" s="32" t="e">
        <f>CF31</f>
        <v>#VALUE!</v>
      </c>
      <c r="DK8" s="42" t="s">
        <v>132</v>
      </c>
      <c r="DM8" s="42" t="str">
        <f>DB14</f>
        <v>-</v>
      </c>
      <c r="ED8" s="498">
        <f ca="1">TODAY()</f>
        <v>44149</v>
      </c>
      <c r="EE8" s="498"/>
      <c r="EI8" s="27" t="s">
        <v>38</v>
      </c>
    </row>
    <row r="9" spans="2:146" x14ac:dyDescent="0.2">
      <c r="B9" s="227"/>
      <c r="C9" s="240"/>
      <c r="D9" s="494"/>
      <c r="E9" s="495"/>
      <c r="F9" s="495"/>
      <c r="G9" s="495"/>
      <c r="H9" s="496"/>
      <c r="I9" s="221"/>
      <c r="J9" s="222"/>
      <c r="K9" s="221"/>
      <c r="L9" s="223"/>
      <c r="M9" s="221"/>
      <c r="N9" s="230" t="str">
        <f>'Avaliação Física 1'!DV9</f>
        <v>-</v>
      </c>
      <c r="O9" s="221"/>
      <c r="P9" s="278"/>
      <c r="Q9" s="227"/>
      <c r="S9" s="106"/>
      <c r="T9" s="106"/>
      <c r="U9" s="106"/>
      <c r="V9" s="106"/>
      <c r="AH9" s="126" t="s">
        <v>49</v>
      </c>
      <c r="AI9" s="126"/>
      <c r="AJ9" s="31">
        <f>'Avaliação Física 1'!F85</f>
        <v>0</v>
      </c>
      <c r="AN9" s="126" t="s">
        <v>119</v>
      </c>
      <c r="AO9" s="126"/>
      <c r="AP9" s="10">
        <f>'Avaliação Física 1'!DV11</f>
        <v>0</v>
      </c>
      <c r="BC9" s="109" t="str">
        <f t="shared" si="0"/>
        <v>-</v>
      </c>
      <c r="BD9" s="109">
        <f t="shared" si="0"/>
        <v>1</v>
      </c>
      <c r="BE9" s="32" t="str">
        <f t="shared" si="0"/>
        <v>-</v>
      </c>
      <c r="BZ9" s="126" t="s">
        <v>41</v>
      </c>
      <c r="CA9" s="126"/>
      <c r="CB9" s="144">
        <f>'Avaliação Física 1'!L9</f>
        <v>0</v>
      </c>
      <c r="CC9" s="145"/>
      <c r="CD9" s="126" t="s">
        <v>148</v>
      </c>
      <c r="CE9" s="126"/>
      <c r="CF9" s="144" t="str">
        <f>'Avaliação Física 1'!DV9</f>
        <v>-</v>
      </c>
      <c r="CG9" s="145"/>
      <c r="CM9" s="109"/>
      <c r="CN9" s="109"/>
      <c r="CO9" s="32"/>
      <c r="DK9" s="42">
        <f>CZ15</f>
        <v>1</v>
      </c>
      <c r="DT9" s="426" t="s">
        <v>2</v>
      </c>
      <c r="DU9" s="426"/>
      <c r="DV9" s="8" t="str">
        <f>IF(J9="","-",INT((ED8-'Avaliação Física 1'!J9)/365.25))</f>
        <v>-</v>
      </c>
      <c r="DX9" s="426" t="s">
        <v>41</v>
      </c>
      <c r="DY9" s="426"/>
      <c r="DZ9" s="10">
        <f>'Avaliação Física 1'!L9</f>
        <v>0</v>
      </c>
      <c r="EI9" s="14" t="e">
        <f>1.112-(0.00043499*(DV23))+(0.00000055*(DV23*DV23))-(0.00028826*(DV9))</f>
        <v>#VALUE!</v>
      </c>
      <c r="EP9" t="s">
        <v>48</v>
      </c>
    </row>
    <row r="10" spans="2:146" x14ac:dyDescent="0.2">
      <c r="B10" s="227"/>
      <c r="C10" s="240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301"/>
      <c r="O10" s="221"/>
      <c r="P10" s="278"/>
      <c r="Q10" s="227"/>
      <c r="S10" s="106"/>
      <c r="T10" s="106"/>
      <c r="U10" s="106"/>
      <c r="V10" s="106"/>
      <c r="AH10" s="126" t="s">
        <v>50</v>
      </c>
      <c r="AI10" s="126"/>
      <c r="AJ10" s="31">
        <f>'Avaliação Física 1'!F84</f>
        <v>0</v>
      </c>
      <c r="AN10" s="126" t="s">
        <v>61</v>
      </c>
      <c r="AO10" s="126"/>
      <c r="AP10" s="72">
        <f>'Avaliação Física 1'!DV12</f>
        <v>0</v>
      </c>
      <c r="BC10" s="109" t="str">
        <f t="shared" si="0"/>
        <v>-</v>
      </c>
      <c r="BD10" s="109">
        <f t="shared" si="0"/>
        <v>1</v>
      </c>
      <c r="BE10" s="32" t="str">
        <f t="shared" si="0"/>
        <v>-</v>
      </c>
      <c r="CF10" s="126"/>
      <c r="CG10" s="126"/>
      <c r="CM10" s="109"/>
      <c r="CN10" s="109"/>
      <c r="CO10" s="32"/>
      <c r="DT10" s="490" t="s">
        <v>15</v>
      </c>
      <c r="DU10" s="490"/>
      <c r="DV10" s="490"/>
      <c r="EB10" s="477" t="s">
        <v>36</v>
      </c>
      <c r="EC10" s="477"/>
      <c r="ED10" s="477"/>
      <c r="EI10" s="14"/>
    </row>
    <row r="11" spans="2:146" ht="15.75" thickBot="1" x14ac:dyDescent="0.25">
      <c r="B11" s="227"/>
      <c r="C11" s="240"/>
      <c r="D11" s="221" t="s">
        <v>4</v>
      </c>
      <c r="E11" s="221"/>
      <c r="F11" s="221"/>
      <c r="G11" s="221"/>
      <c r="H11" s="221"/>
      <c r="I11" s="221"/>
      <c r="J11" s="221" t="s">
        <v>5</v>
      </c>
      <c r="K11" s="221"/>
      <c r="L11" s="221"/>
      <c r="M11" s="221"/>
      <c r="N11" s="221" t="s">
        <v>6</v>
      </c>
      <c r="O11" s="221"/>
      <c r="P11" s="278"/>
      <c r="Q11" s="227"/>
      <c r="S11" s="107"/>
      <c r="T11" s="107" t="b">
        <v>0</v>
      </c>
      <c r="U11" s="107"/>
      <c r="V11" s="106"/>
      <c r="AH11" s="126" t="s">
        <v>59</v>
      </c>
      <c r="AI11" s="138"/>
      <c r="AJ11" s="31">
        <f>'Avaliação Física 1'!F86</f>
        <v>0</v>
      </c>
      <c r="BC11" s="47"/>
      <c r="BD11" s="48"/>
      <c r="BE11" s="48"/>
      <c r="BF11" s="48"/>
      <c r="BG11" s="48"/>
      <c r="BH11" s="48"/>
      <c r="BI11" s="48"/>
      <c r="BJ11" s="48"/>
      <c r="BK11" s="49"/>
      <c r="BN11" s="47"/>
      <c r="BO11" s="48"/>
      <c r="BP11" s="48"/>
      <c r="BQ11" s="48"/>
      <c r="BR11" s="48"/>
      <c r="BS11" s="48"/>
      <c r="BT11" s="48"/>
      <c r="BU11" s="49"/>
      <c r="BZ11" s="126"/>
      <c r="CA11" s="126"/>
      <c r="CM11" s="47"/>
      <c r="CN11" s="48"/>
      <c r="CO11" s="48"/>
      <c r="CP11" s="48"/>
      <c r="CQ11" s="48"/>
      <c r="CR11" s="48"/>
      <c r="CS11" s="48"/>
      <c r="CT11" s="49"/>
      <c r="CU11" s="49"/>
      <c r="CX11" s="47"/>
      <c r="CY11" s="48"/>
      <c r="CZ11" s="48"/>
      <c r="DA11" s="48"/>
      <c r="DB11" s="48"/>
      <c r="DC11" s="48"/>
      <c r="DD11" s="48"/>
      <c r="DE11" s="49"/>
      <c r="DH11" s="109"/>
      <c r="DJ11" s="109"/>
      <c r="DK11" s="109"/>
      <c r="DL11" s="109"/>
      <c r="DN11" s="121" t="s">
        <v>27</v>
      </c>
      <c r="DO11" s="121"/>
      <c r="DT11" s="426" t="s">
        <v>118</v>
      </c>
      <c r="DU11" s="426"/>
      <c r="DV11" s="31">
        <f>'Avaliação Física 1'!F72</f>
        <v>0</v>
      </c>
      <c r="DX11" s="426" t="s">
        <v>26</v>
      </c>
      <c r="DY11" s="426"/>
      <c r="DZ11" s="9" t="e">
        <f>IF(DV11="","-",SUM(DV11/(DV12*DV12)))</f>
        <v>#DIV/0!</v>
      </c>
      <c r="EB11" s="478" t="str">
        <f>IF(DV12&gt;0,VLOOKUP(DZ11,AUX_IMC_Classificação[],2,TRUE),"(informe peso e altura)")</f>
        <v>(informe peso e altura)</v>
      </c>
      <c r="EC11" s="479"/>
      <c r="ED11" s="480"/>
      <c r="EI11" s="27" t="s">
        <v>39</v>
      </c>
    </row>
    <row r="12" spans="2:146" ht="15.75" thickBot="1" x14ac:dyDescent="0.25">
      <c r="B12" s="227"/>
      <c r="C12" s="240"/>
      <c r="D12" s="432"/>
      <c r="E12" s="433"/>
      <c r="F12" s="433"/>
      <c r="G12" s="433"/>
      <c r="H12" s="434"/>
      <c r="I12" s="221"/>
      <c r="J12" s="432"/>
      <c r="K12" s="433"/>
      <c r="L12" s="434"/>
      <c r="M12" s="221"/>
      <c r="N12" s="224"/>
      <c r="O12" s="221"/>
      <c r="P12" s="278"/>
      <c r="Q12" s="227"/>
      <c r="S12" s="107"/>
      <c r="T12" s="107" t="b">
        <v>0</v>
      </c>
      <c r="U12" s="107"/>
      <c r="V12" s="106"/>
      <c r="AH12" s="126" t="s">
        <v>51</v>
      </c>
      <c r="AI12" s="126"/>
      <c r="AJ12" s="31">
        <f>'Avaliação Física 1'!F87</f>
        <v>0</v>
      </c>
      <c r="AN12" s="126" t="s">
        <v>62</v>
      </c>
      <c r="AO12" s="126"/>
      <c r="AP12" s="44" t="str">
        <f>'Avaliação Física 1'!E91</f>
        <v>-</v>
      </c>
      <c r="AZ12" s="42" t="s">
        <v>62</v>
      </c>
      <c r="BC12" s="50"/>
      <c r="BJ12" s="51" t="s">
        <v>138</v>
      </c>
      <c r="BK12" s="52"/>
      <c r="BN12" s="50"/>
      <c r="BT12" s="42" t="s">
        <v>138</v>
      </c>
      <c r="BU12" s="52"/>
      <c r="BZ12" s="126" t="s">
        <v>149</v>
      </c>
      <c r="CA12" s="126"/>
      <c r="CB12" s="126"/>
      <c r="CC12" s="126"/>
      <c r="CD12" s="113">
        <f>'Avaliação Física 1'!L281</f>
        <v>0</v>
      </c>
      <c r="CF12" s="126" t="s">
        <v>150</v>
      </c>
      <c r="CG12" s="126"/>
      <c r="CH12" s="44" t="str">
        <f>IF(CD12="","-",DC18)</f>
        <v>-</v>
      </c>
      <c r="CI12" s="21"/>
      <c r="CM12" s="50"/>
      <c r="CS12" s="42" t="s">
        <v>138</v>
      </c>
      <c r="CT12" s="52"/>
      <c r="CU12" s="52"/>
      <c r="CX12" s="50"/>
      <c r="DD12" s="42" t="s">
        <v>138</v>
      </c>
      <c r="DE12" s="52"/>
      <c r="DH12" s="109"/>
      <c r="DJ12" s="109"/>
      <c r="DK12" s="109"/>
      <c r="DL12" s="109"/>
      <c r="DN12" s="121" t="str">
        <f>IF(AND(DK9=0,DM8&lt;=29),VLOOKUP(DO7,DH19:DI23,2,TRUE),IF(AND(DK9=0,DM8&lt;=39),VLOOKUP(DO7,DH26:DI30,2,TRUE),IF(AND(DK9=0,DM8&lt;=49),VLOOKUP(DO7,DH32:DI36,2,TRUE),IF(AND(DK9=0,DM8&lt;=59),VLOOKUP(DO7,DH38:DI42,2,TRUE),IF(AND(DK9=0,DM8&lt;=69),VLOOKUP(DO7,DH44:DI48,2,TRUE),IF(AND(DK9=1,DM8&lt;=29),VLOOKUP(DO7,DK19:DL23,2,TRUE),IF(AND(DK9=1,DM8&lt;=39),VLOOKUP(DO7,DK26:DL30,2,TRUE),IF(AND(DK9=1,DM8&lt;=49),VLOOKUP(DO7,DK32:DL36,2,TRUE),IF(AND(DK9=1,DM8&lt;=59),VLOOKUP(DO7,DK38:DL42,2,TRUE),IF(AND(DK9=1,DM8&lt;=69),VLOOKUP(DO7,DK44:DL48,2,TRUE),"-"))))))))))</f>
        <v>-</v>
      </c>
      <c r="DO12" s="121"/>
      <c r="DT12" s="426" t="s">
        <v>17</v>
      </c>
      <c r="DU12" s="426"/>
      <c r="DV12" s="45">
        <f>'Avaliação Física 1'!J72</f>
        <v>0</v>
      </c>
      <c r="EI12" s="15" t="e">
        <f>1.097-(0.00046971*(DV23))+(0.00000056*(DV23*DV23))-(0.00012828*(DV9))</f>
        <v>#VALUE!</v>
      </c>
      <c r="EL12" s="474" t="s">
        <v>45</v>
      </c>
      <c r="EM12" s="475"/>
      <c r="EN12" s="476"/>
    </row>
    <row r="13" spans="2:146" x14ac:dyDescent="0.2">
      <c r="B13" s="227"/>
      <c r="C13" s="240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78"/>
      <c r="Q13" s="227"/>
      <c r="S13" s="107"/>
      <c r="T13" s="107" t="b">
        <v>0</v>
      </c>
      <c r="U13" s="107"/>
      <c r="V13" s="106"/>
      <c r="AH13" s="126" t="s">
        <v>52</v>
      </c>
      <c r="AI13" s="126"/>
      <c r="AJ13" s="31">
        <f>'Avaliação Física 1'!F88</f>
        <v>0</v>
      </c>
      <c r="AX13" s="42" t="s">
        <v>133</v>
      </c>
      <c r="AZ13" s="43" t="str">
        <f>AP12</f>
        <v>-</v>
      </c>
      <c r="BC13" s="50"/>
      <c r="BH13" s="42" t="s">
        <v>133</v>
      </c>
      <c r="BJ13" s="42"/>
      <c r="BK13" s="52"/>
      <c r="BN13" s="50"/>
      <c r="BR13" s="42" t="s">
        <v>133</v>
      </c>
      <c r="BT13" s="42">
        <v>11</v>
      </c>
      <c r="BU13" s="52"/>
      <c r="CM13" s="50"/>
      <c r="CQ13" s="42" t="s">
        <v>133</v>
      </c>
      <c r="CS13" s="42">
        <f>CD20</f>
        <v>0</v>
      </c>
      <c r="CT13" s="52"/>
      <c r="CU13" s="52"/>
      <c r="CX13" s="50"/>
      <c r="DB13" s="42" t="s">
        <v>133</v>
      </c>
      <c r="DD13" s="42">
        <f>CD12</f>
        <v>0</v>
      </c>
      <c r="DE13" s="52"/>
      <c r="EL13" s="20" t="s">
        <v>40</v>
      </c>
      <c r="EM13" s="21" t="e">
        <f>((4.95/EI9)-4.5)*100</f>
        <v>#VALUE!</v>
      </c>
      <c r="EN13" s="22"/>
    </row>
    <row r="14" spans="2:146" x14ac:dyDescent="0.2">
      <c r="B14" s="227"/>
      <c r="C14" s="240"/>
      <c r="D14" s="221" t="s">
        <v>7</v>
      </c>
      <c r="E14" s="221"/>
      <c r="F14" s="221"/>
      <c r="G14" s="221"/>
      <c r="H14" s="221" t="s">
        <v>244</v>
      </c>
      <c r="I14" s="221"/>
      <c r="J14" s="221"/>
      <c r="K14" s="221"/>
      <c r="L14" s="221" t="s">
        <v>8</v>
      </c>
      <c r="M14" s="221"/>
      <c r="N14" s="260" t="s">
        <v>243</v>
      </c>
      <c r="O14" s="221"/>
      <c r="P14" s="278"/>
      <c r="Q14" s="227"/>
      <c r="S14" s="107"/>
      <c r="T14" s="107" t="b">
        <v>0</v>
      </c>
      <c r="U14" s="107"/>
      <c r="V14" s="106"/>
      <c r="AH14" s="108"/>
      <c r="AI14" s="108"/>
      <c r="AN14" s="126" t="s">
        <v>27</v>
      </c>
      <c r="AO14" s="126"/>
      <c r="AP14" s="130" t="str">
        <f>AY18</f>
        <v>-</v>
      </c>
      <c r="AQ14" s="130"/>
      <c r="AV14" s="42" t="s">
        <v>132</v>
      </c>
      <c r="AX14" s="42" t="str">
        <f>'Avaliação Física 1'!DV9</f>
        <v>-</v>
      </c>
      <c r="BC14" s="50"/>
      <c r="BF14" s="42" t="s">
        <v>132</v>
      </c>
      <c r="BH14" s="42" t="str">
        <f>AX14</f>
        <v>-</v>
      </c>
      <c r="BK14" s="52"/>
      <c r="BN14" s="50"/>
      <c r="BP14" s="42" t="s">
        <v>132</v>
      </c>
      <c r="BR14" s="42" t="str">
        <f>BH14</f>
        <v>-</v>
      </c>
      <c r="BU14" s="52"/>
      <c r="BZ14" s="108"/>
      <c r="CA14" s="108"/>
      <c r="CF14" s="126"/>
      <c r="CG14" s="126"/>
      <c r="CH14" s="126"/>
      <c r="CI14" s="126"/>
      <c r="CM14" s="50"/>
      <c r="CO14" s="42" t="s">
        <v>132</v>
      </c>
      <c r="CQ14" s="42" t="str">
        <f>CF9</f>
        <v>-</v>
      </c>
      <c r="CT14" s="52"/>
      <c r="CU14" s="52"/>
      <c r="CX14" s="50"/>
      <c r="CZ14" s="42" t="s">
        <v>132</v>
      </c>
      <c r="DB14" s="42" t="str">
        <f>CF9</f>
        <v>-</v>
      </c>
      <c r="DE14" s="52"/>
      <c r="DT14" s="490" t="s">
        <v>16</v>
      </c>
      <c r="DU14" s="490"/>
      <c r="DV14" s="490"/>
      <c r="EL14" s="23"/>
      <c r="EN14" s="22"/>
    </row>
    <row r="15" spans="2:146" x14ac:dyDescent="0.2">
      <c r="B15" s="227"/>
      <c r="C15" s="240"/>
      <c r="D15" s="432"/>
      <c r="E15" s="433"/>
      <c r="F15" s="434"/>
      <c r="G15" s="221"/>
      <c r="H15" s="435"/>
      <c r="I15" s="433"/>
      <c r="J15" s="434"/>
      <c r="K15" s="221"/>
      <c r="L15" s="225"/>
      <c r="M15" s="220"/>
      <c r="N15" s="226"/>
      <c r="O15" s="221"/>
      <c r="P15" s="278"/>
      <c r="Q15" s="227"/>
      <c r="S15" s="107"/>
      <c r="T15" s="107" t="b">
        <v>0</v>
      </c>
      <c r="U15" s="107"/>
      <c r="V15" s="106"/>
      <c r="AH15" s="108"/>
      <c r="AI15" s="108"/>
      <c r="AJ15" s="109" t="s">
        <v>57</v>
      </c>
      <c r="AK15" s="109"/>
      <c r="AL15" s="109" t="s">
        <v>58</v>
      </c>
      <c r="AV15" s="42">
        <f>IF(L9="feminino",0,1)</f>
        <v>1</v>
      </c>
      <c r="BC15" s="50"/>
      <c r="BF15" s="42">
        <f>AV15</f>
        <v>1</v>
      </c>
      <c r="BK15" s="52"/>
      <c r="BN15" s="50"/>
      <c r="BP15" s="42">
        <f>BF15</f>
        <v>1</v>
      </c>
      <c r="BU15" s="52"/>
      <c r="CM15" s="50"/>
      <c r="CO15" s="42">
        <f>IF(CB9="feminino",0,1)</f>
        <v>1</v>
      </c>
      <c r="CT15" s="52"/>
      <c r="CU15" s="52"/>
      <c r="CX15" s="50"/>
      <c r="CZ15" s="42">
        <f>CO15</f>
        <v>1</v>
      </c>
      <c r="DE15" s="52"/>
      <c r="DT15" s="426" t="s">
        <v>18</v>
      </c>
      <c r="DU15" s="426"/>
      <c r="DV15" s="31">
        <f>'Avaliação Física 1'!F77</f>
        <v>0</v>
      </c>
      <c r="EL15" s="481" t="s">
        <v>44</v>
      </c>
      <c r="EM15" s="477"/>
      <c r="EN15" s="482"/>
    </row>
    <row r="16" spans="2:146" x14ac:dyDescent="0.2">
      <c r="B16" s="227"/>
      <c r="C16" s="241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227"/>
      <c r="S16" s="107"/>
      <c r="T16" s="107" t="b">
        <v>0</v>
      </c>
      <c r="U16" s="107"/>
      <c r="V16" s="106"/>
      <c r="AH16" s="126" t="s">
        <v>53</v>
      </c>
      <c r="AI16" s="126"/>
      <c r="AJ16" s="31">
        <f>'Avaliação Física 1'!J84</f>
        <v>0</v>
      </c>
      <c r="AL16" s="31">
        <f>'Avaliação Física 1'!L84</f>
        <v>0</v>
      </c>
      <c r="AP16" s="109" t="s">
        <v>92</v>
      </c>
      <c r="AR16" s="109" t="s">
        <v>93</v>
      </c>
      <c r="BC16" s="133"/>
      <c r="BD16" s="126"/>
      <c r="BE16" s="109"/>
      <c r="BF16" s="109"/>
      <c r="BG16" s="109"/>
      <c r="BH16" s="109"/>
      <c r="BI16" s="126" t="s">
        <v>136</v>
      </c>
      <c r="BJ16" s="126"/>
      <c r="BK16" s="53"/>
      <c r="BL16" s="109"/>
      <c r="BM16" s="109"/>
      <c r="BN16" s="50"/>
      <c r="BS16" s="126" t="s">
        <v>137</v>
      </c>
      <c r="BT16" s="126"/>
      <c r="BU16" s="52"/>
      <c r="CM16" s="50"/>
      <c r="CR16" s="126" t="s">
        <v>136</v>
      </c>
      <c r="CS16" s="126"/>
      <c r="CT16" s="52"/>
      <c r="CU16" s="53"/>
      <c r="CV16" s="109"/>
      <c r="CW16" s="109"/>
      <c r="CX16" s="50"/>
      <c r="DC16" s="126" t="s">
        <v>137</v>
      </c>
      <c r="DD16" s="126"/>
      <c r="DE16" s="52"/>
      <c r="DT16" s="426" t="s">
        <v>19</v>
      </c>
      <c r="DU16" s="426"/>
      <c r="DV16" s="31">
        <f>'Avaliação Física 1'!F78</f>
        <v>0</v>
      </c>
      <c r="EH16" s="6" t="s">
        <v>26</v>
      </c>
      <c r="EI16" s="6" t="s">
        <v>27</v>
      </c>
      <c r="EL16" s="20" t="s">
        <v>40</v>
      </c>
      <c r="EM16" s="21" t="e">
        <f>((4.95/EI12)-4.5)*100</f>
        <v>#VALUE!</v>
      </c>
      <c r="EN16" s="22"/>
    </row>
    <row r="17" spans="2:144" ht="6" customHeight="1" thickBot="1" x14ac:dyDescent="0.25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S17" s="107"/>
      <c r="T17" s="107"/>
      <c r="U17" s="107"/>
      <c r="V17" s="106"/>
      <c r="AH17" s="126" t="s">
        <v>54</v>
      </c>
      <c r="AI17" s="126"/>
      <c r="AJ17" s="31">
        <f>'Avaliação Física 1'!J85</f>
        <v>0</v>
      </c>
      <c r="AL17" s="31">
        <f>'Avaliação Física 1'!L85</f>
        <v>0</v>
      </c>
      <c r="AN17" s="126" t="s">
        <v>12</v>
      </c>
      <c r="AO17" s="138"/>
      <c r="AP17" s="113"/>
      <c r="AR17" s="113"/>
      <c r="AU17" s="122" t="s">
        <v>37</v>
      </c>
      <c r="AV17" s="122"/>
      <c r="AY17" s="121" t="s">
        <v>27</v>
      </c>
      <c r="AZ17" s="121"/>
      <c r="BC17" s="134"/>
      <c r="BD17" s="85"/>
      <c r="BE17" s="122" t="s">
        <v>37</v>
      </c>
      <c r="BF17" s="122"/>
      <c r="BI17" s="121" t="s">
        <v>27</v>
      </c>
      <c r="BJ17" s="121"/>
      <c r="BK17" s="54"/>
      <c r="BL17" s="114"/>
      <c r="BM17" s="114"/>
      <c r="BN17" s="50"/>
      <c r="BO17" s="122" t="s">
        <v>37</v>
      </c>
      <c r="BP17" s="122"/>
      <c r="BS17" s="121" t="s">
        <v>27</v>
      </c>
      <c r="BT17" s="121"/>
      <c r="BU17" s="52"/>
      <c r="BZ17" s="126" t="s">
        <v>41</v>
      </c>
      <c r="CA17" s="126"/>
      <c r="CB17" s="144">
        <f>CB9</f>
        <v>0</v>
      </c>
      <c r="CC17" s="145"/>
      <c r="CD17" s="126" t="s">
        <v>148</v>
      </c>
      <c r="CE17" s="126"/>
      <c r="CF17" s="144" t="str">
        <f>CF9</f>
        <v>-</v>
      </c>
      <c r="CG17" s="145"/>
      <c r="CM17" s="50"/>
      <c r="CN17" s="122" t="s">
        <v>37</v>
      </c>
      <c r="CO17" s="122"/>
      <c r="CR17" s="121" t="s">
        <v>27</v>
      </c>
      <c r="CS17" s="121"/>
      <c r="CT17" s="52"/>
      <c r="CU17" s="54"/>
      <c r="CV17" s="114"/>
      <c r="CW17" s="114"/>
      <c r="CX17" s="50"/>
      <c r="CY17" s="122" t="s">
        <v>37</v>
      </c>
      <c r="CZ17" s="122"/>
      <c r="DC17" s="121" t="s">
        <v>27</v>
      </c>
      <c r="DD17" s="121"/>
      <c r="DE17" s="52"/>
      <c r="DH17" s="122" t="s">
        <v>37</v>
      </c>
      <c r="DI17" s="122"/>
      <c r="DK17" s="123" t="s">
        <v>135</v>
      </c>
      <c r="DL17" s="123"/>
      <c r="DT17" s="426" t="s">
        <v>20</v>
      </c>
      <c r="DU17" s="426"/>
      <c r="DV17" s="31">
        <f>'Avaliação Física 1'!J77</f>
        <v>0</v>
      </c>
      <c r="EH17" s="7">
        <v>0</v>
      </c>
      <c r="EI17" s="7" t="s">
        <v>28</v>
      </c>
      <c r="EL17" s="24"/>
      <c r="EM17" s="25"/>
      <c r="EN17" s="26"/>
    </row>
    <row r="18" spans="2:144" x14ac:dyDescent="0.2">
      <c r="B18" s="227"/>
      <c r="C18" s="362" t="s">
        <v>202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227"/>
      <c r="S18" s="106"/>
      <c r="T18" s="106"/>
      <c r="U18" s="106"/>
      <c r="V18" s="106"/>
      <c r="AH18" s="126" t="s">
        <v>55</v>
      </c>
      <c r="AI18" s="126"/>
      <c r="AJ18" s="31">
        <f>'Avaliação Física 1'!J86</f>
        <v>0</v>
      </c>
      <c r="AL18" s="31">
        <f>'Avaliação Física 1'!L86</f>
        <v>0</v>
      </c>
      <c r="AU18" s="124" t="s">
        <v>64</v>
      </c>
      <c r="AV18" s="124"/>
      <c r="AY18" s="121" t="str">
        <f>IF(AND(AV15=0,AX14&lt;=29),VLOOKUP(AZ13,AU19:AV22,2,TRUE),IF(AND(AV15=0,AX14&lt;=39),VLOOKUP(AZ13,AU26:AV29,2,TRUE),IF(AND(AV15=0,AX14&lt;=49),VLOOKUP(AZ13,AU32:AV36,2,TRUE),IF(AND(AV15=0,AX14&lt;=59),VLOOKUP(AZ13,AU38:AV41,2,TRUE),IF(AND(AV15=0,AX14&lt;=69),VLOOKUP(AZ13,AU44:AV47,2,TRUE),IF(AND(AV15=1,AX14&lt;=29),VLOOKUP(AZ13,AX25:AY28,2,TRUE),IF(AND(AV15=1,AX14&lt;=39),VLOOKUP(AZ13,AX32:AY35,2,TRUE),IF(AND(AV15=1,AX14&lt;=49),VLOOKUP(AZ13,AX38:AY41,2,TRUE),IF(AND(AV15=1,AX14&lt;=59),VLOOKUP(AZ13,AX44:AY47,2,TRUE),IF(AND(AV15=1,AX14&lt;=69),VLOOKUP(AZ13,AX50:AY53,2,TRUE),"-"))))))))))</f>
        <v>-</v>
      </c>
      <c r="AZ18" s="121"/>
      <c r="BC18" s="134"/>
      <c r="BD18" s="85"/>
      <c r="BE18" s="124" t="s">
        <v>64</v>
      </c>
      <c r="BF18" s="124"/>
      <c r="BI18" s="121" t="str">
        <f>IF(AND(BF15=0,BH14&lt;=29),VLOOKUP(BJ13,BE19:BF22,2,TRUE),IF(AND(BF15=0,BH14&lt;=39),VLOOKUP(BJ13,BE26:BF27,2,TRUE),IF(AND(BF15=0,BH14&lt;=49),VLOOKUP(BJ13,#REF!,2,TRUE),IF(AND(BF15=0,BH14&lt;=59),VLOOKUP(BJ13,#REF!,2,TRUE),IF(AND(BF15=0,BH14&lt;=69),VLOOKUP(BJ13,BE28:BF31,2,TRUE),IF(AND(BF15=1,BH14&lt;=29),VLOOKUP(BJ13,BH25:BI27,2,TRUE),IF(AND(BF15=1,BH14&lt;=39),VLOOKUP(BJ13,#REF!,2,TRUE),IF(AND(BF15=1,BH14&lt;=49),VLOOKUP(BJ13,#REF!,2,TRUE),IF(AND(BF15=1,BH14&lt;=59),VLOOKUP(BJ13,BH28:BI31,2,TRUE),IF(AND(BF15=1,BH14&lt;=69),VLOOKUP(BJ13,BH34:BI40,2,TRUE),"-"))))))))))</f>
        <v>-</v>
      </c>
      <c r="BJ18" s="121"/>
      <c r="BK18" s="54"/>
      <c r="BL18" s="114"/>
      <c r="BM18" s="114"/>
      <c r="BN18" s="50"/>
      <c r="BO18" s="124" t="s">
        <v>139</v>
      </c>
      <c r="BP18" s="124"/>
      <c r="BS18" s="121" t="str">
        <f>IF(AND(BP15=0,BR14&lt;=19),VLOOKUP(BT13,BO19:BP23,2,TRUE),IF(AND(BP15=0,BR14&lt;=29),VLOOKUP(BT13,BO26:BP27,2,TRUE),IF(AND(BP15=0,BR14&lt;=39),VLOOKUP(BT13,#REF!,2,TRUE),IF(AND(BP15=0,BR14&lt;=49),VLOOKUP(BT13,#REF!,2,TRUE),IF(AND(BP15=0,BR14&lt;=59),VLOOKUP(BT13,BO28:BP31,2,TRUE),IF(AND(BP15=0,BR14&lt;=69),VLOOKUP(BT13,BO38:BP42,2,TRUE),IF(AND(BP15=1,BR14&lt;=19),VLOOKUP(BT13,BR25:BS27,2,TRUE),IF(AND(BP15=1,BR14&lt;=29),VLOOKUP(BT13,#REF!,2,TRUE),IF(AND(BP15=1,BR14&lt;=39),VLOOKUP(BT13,#REF!,2,TRUE),IF(AND(BP15=1,BR14&lt;=49),VLOOKUP(BT13,BR28:BS31,2,TRUE),IF(AND(BP15=1,BR14&lt;=59),VLOOKUP(BT13,BR34:BS40,2,TRUE),IF(AND(BP15=1,BR14&lt;=69),VLOOKUP(BT13,BR44:BS48,2,TRUE),"-"))))))))))))</f>
        <v>-</v>
      </c>
      <c r="BT18" s="121"/>
      <c r="BU18" s="52"/>
      <c r="CF18" s="126"/>
      <c r="CG18" s="126"/>
      <c r="CM18" s="50"/>
      <c r="CN18" s="124" t="s">
        <v>139</v>
      </c>
      <c r="CO18" s="124"/>
      <c r="CR18" s="121" t="str">
        <f>IF(AND(CO15=0,CQ14&lt;=19),VLOOKUP(CS13,CN19:CO23,2,TRUE),IF(AND(CO15=0,CQ14&lt;=29),VLOOKUP(CS13,CN26:CO30,2,TRUE),IF(AND(CO15=0,CQ14&lt;=39),VLOOKUP(CS13,CN32:CO36,2,TRUE),IF(AND(CO15=0,CQ14&lt;=49),VLOOKUP(CS13,CN38:CO42,2,TRUE),IF(AND(CO15=0,CQ14&lt;=59),VLOOKUP(CS13,CN44:CO48,2,TRUE),IF(AND(CO15=0,CQ14&lt;=69),VLOOKUP(CS13,CN51:CO55,2,TRUE),IF(AND(CO15=1,CQ14&lt;=19),VLOOKUP(CS13,CQ25:CR29,2,TRUE),IF(AND(CO15=1,CQ14&lt;=29),VLOOKUP(CS13,CQ32:CR36,2,TRUE),IF(AND(CO15=1,CQ14&lt;=39),VLOOKUP(CS13,CQ38:CR42,2,TRUE),IF(AND(CO15=1,CQ14&lt;=49),VLOOKUP(CS13,CQ44:CR48,2,TRUE),IF(AND(CO15=1,CQ14&lt;=59),VLOOKUP(CS13,CQ50:CR54,2,TRUE),IF(AND(CO15=1,CQ14&lt;=69),VLOOKUP(CS13,CQ57:CR61,2,TRUE),"-"))))))))))))</f>
        <v>-</v>
      </c>
      <c r="CS18" s="121"/>
      <c r="CT18" s="52"/>
      <c r="CU18" s="54"/>
      <c r="CV18" s="114"/>
      <c r="CW18" s="114"/>
      <c r="CX18" s="50"/>
      <c r="CY18" s="124" t="s">
        <v>139</v>
      </c>
      <c r="CZ18" s="124"/>
      <c r="DC18" s="121" t="str">
        <f>IF(AND(CZ15=0,DB14&lt;=19),VLOOKUP(DD13,CY19:CZ23,2,TRUE),IF(AND(CZ15=0,DB14&lt;=29),VLOOKUP(DD13,CY26:CZ30,2,TRUE),IF(AND(CZ15=0,DB14&lt;=39),VLOOKUP(DD13,CY32:CZ36,2,TRUE),IF(AND(CZ15=0,DB14&lt;=49),VLOOKUP(DD13,CY38:CZ42,2,TRUE),IF(AND(CZ15=0,DB14&lt;=59),VLOOKUP(DD13,CY44:CZ48,2,TRUE),IF(AND(CZ15=0,DB14&lt;=69),VLOOKUP(DD13,CY51:CZ55,2,TRUE),IF(AND(CZ15=1,DB14&lt;=19),VLOOKUP(DD13,DB25:DC28,2,TRUE),IF(AND(CZ15=1,DB14&lt;=29),VLOOKUP(DD13,DB32:DC36,2,TRUE),IF(AND(CZ15=1,DB14&lt;=39),VLOOKUP(DD13,DB38:DC42,2,TRUE),IF(AND(CZ15=1,DB14&lt;=49),VLOOKUP(DD13,DB44:DC48,2,TRUE),IF(AND(CZ15=1,DB14&lt;=59),VLOOKUP(DD13,DB50:DC54,2,TRUE),IF(AND(CZ15=1,DB14&lt;=69),VLOOKUP(DD13,DB57:DC61,2,TRUE),"-"))))))))))))</f>
        <v>-</v>
      </c>
      <c r="DD18" s="121"/>
      <c r="DE18" s="52"/>
      <c r="DH18" s="124" t="s">
        <v>195</v>
      </c>
      <c r="DI18" s="124"/>
      <c r="DK18" s="125" t="s">
        <v>195</v>
      </c>
      <c r="DL18" s="125"/>
      <c r="DT18" s="426" t="s">
        <v>21</v>
      </c>
      <c r="DU18" s="426"/>
      <c r="DV18" s="31">
        <f>'Avaliação Física 1'!J78</f>
        <v>0</v>
      </c>
      <c r="EH18" s="7">
        <v>16.100000000000001</v>
      </c>
      <c r="EI18" s="7" t="s">
        <v>29</v>
      </c>
    </row>
    <row r="19" spans="2:144" ht="15.75" thickBot="1" x14ac:dyDescent="0.25">
      <c r="B19" s="227"/>
      <c r="C19" s="238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76"/>
      <c r="P19" s="277"/>
      <c r="Q19" s="227"/>
      <c r="AH19" s="126" t="s">
        <v>56</v>
      </c>
      <c r="AI19" s="126"/>
      <c r="AJ19" s="31">
        <f>'Avaliação Física 1'!J87</f>
        <v>0</v>
      </c>
      <c r="AL19" s="31">
        <f>'Avaliação Física 1'!L87</f>
        <v>0</v>
      </c>
      <c r="AN19" s="126" t="s">
        <v>91</v>
      </c>
      <c r="AO19" s="138"/>
      <c r="AP19" s="31"/>
      <c r="AQ19" s="131" t="s">
        <v>94</v>
      </c>
      <c r="AR19" s="126"/>
      <c r="AU19" s="33">
        <v>0.01</v>
      </c>
      <c r="AV19" s="34" t="s">
        <v>126</v>
      </c>
      <c r="BC19" s="134"/>
      <c r="BD19" s="85"/>
      <c r="BE19" s="33">
        <v>0.01</v>
      </c>
      <c r="BF19" s="34" t="s">
        <v>126</v>
      </c>
      <c r="BK19" s="54"/>
      <c r="BL19" s="114"/>
      <c r="BM19" s="114"/>
      <c r="BN19" s="50"/>
      <c r="BO19" s="58">
        <v>1</v>
      </c>
      <c r="BP19" s="34" t="s">
        <v>144</v>
      </c>
      <c r="BU19" s="52"/>
      <c r="BZ19" s="126"/>
      <c r="CA19" s="126"/>
      <c r="CM19" s="50"/>
      <c r="CN19" s="67">
        <v>0</v>
      </c>
      <c r="CO19" s="34" t="s">
        <v>144</v>
      </c>
      <c r="CT19" s="52"/>
      <c r="CU19" s="54"/>
      <c r="CV19" s="114"/>
      <c r="CW19" s="114"/>
      <c r="CX19" s="50"/>
      <c r="CY19" s="67">
        <v>0</v>
      </c>
      <c r="CZ19" s="34" t="s">
        <v>144</v>
      </c>
      <c r="DE19" s="52"/>
      <c r="DH19" s="67">
        <v>0</v>
      </c>
      <c r="DI19" s="34" t="s">
        <v>196</v>
      </c>
      <c r="DK19" s="63">
        <v>0</v>
      </c>
      <c r="DL19" s="37" t="s">
        <v>196</v>
      </c>
      <c r="DT19" s="426" t="s">
        <v>43</v>
      </c>
      <c r="DU19" s="426"/>
      <c r="DV19" s="31">
        <f>'Avaliação Física 1'!J79</f>
        <v>0</v>
      </c>
      <c r="EH19" s="7">
        <v>17</v>
      </c>
      <c r="EI19" s="7" t="s">
        <v>30</v>
      </c>
    </row>
    <row r="20" spans="2:144" x14ac:dyDescent="0.2">
      <c r="B20" s="227"/>
      <c r="C20" s="240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21"/>
      <c r="P20" s="278"/>
      <c r="Q20" s="227"/>
      <c r="AU20" s="34">
        <v>0.71</v>
      </c>
      <c r="AV20" s="34" t="s">
        <v>127</v>
      </c>
      <c r="BC20" s="134"/>
      <c r="BD20" s="85"/>
      <c r="BE20" s="34">
        <v>0.71</v>
      </c>
      <c r="BF20" s="34" t="s">
        <v>127</v>
      </c>
      <c r="BK20" s="54"/>
      <c r="BL20" s="114"/>
      <c r="BM20" s="114"/>
      <c r="BN20" s="50"/>
      <c r="BO20" s="58">
        <v>12</v>
      </c>
      <c r="BP20" s="34" t="s">
        <v>143</v>
      </c>
      <c r="BU20" s="52"/>
      <c r="BZ20" s="126" t="s">
        <v>149</v>
      </c>
      <c r="CA20" s="126"/>
      <c r="CB20" s="126"/>
      <c r="CC20" s="126"/>
      <c r="CD20" s="113">
        <f>'Avaliação Física 1'!L272</f>
        <v>0</v>
      </c>
      <c r="CF20" s="126" t="s">
        <v>150</v>
      </c>
      <c r="CG20" s="126"/>
      <c r="CH20" s="44" t="str">
        <f>IF(CD20="","-",CR18)</f>
        <v>-</v>
      </c>
      <c r="CI20" s="21"/>
      <c r="CM20" s="50"/>
      <c r="CN20" s="67">
        <v>27</v>
      </c>
      <c r="CO20" s="34" t="s">
        <v>143</v>
      </c>
      <c r="CT20" s="52"/>
      <c r="CU20" s="54"/>
      <c r="CV20" s="114"/>
      <c r="CW20" s="114"/>
      <c r="CX20" s="50"/>
      <c r="CY20" s="67">
        <v>12</v>
      </c>
      <c r="CZ20" s="34" t="s">
        <v>143</v>
      </c>
      <c r="DE20" s="52"/>
      <c r="DH20" s="67">
        <v>24</v>
      </c>
      <c r="DI20" s="34" t="s">
        <v>144</v>
      </c>
      <c r="DK20" s="63">
        <v>25</v>
      </c>
      <c r="DL20" s="37" t="s">
        <v>144</v>
      </c>
      <c r="DT20" s="426" t="s">
        <v>22</v>
      </c>
      <c r="DU20" s="426"/>
      <c r="DV20" s="31">
        <f>'Avaliação Física 1'!N77</f>
        <v>0</v>
      </c>
      <c r="EH20" s="7">
        <v>18.5</v>
      </c>
      <c r="EI20" s="7" t="s">
        <v>31</v>
      </c>
      <c r="EL20" s="17" t="s">
        <v>42</v>
      </c>
    </row>
    <row r="21" spans="2:144" ht="6" customHeight="1" thickBot="1" x14ac:dyDescent="0.25">
      <c r="B21" s="227"/>
      <c r="C21" s="241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79"/>
      <c r="P21" s="280"/>
      <c r="Q21" s="227"/>
      <c r="AH21" s="135" t="s">
        <v>60</v>
      </c>
      <c r="AI21" s="135"/>
      <c r="AJ21" s="135"/>
      <c r="AK21" s="135"/>
      <c r="AL21" s="135"/>
      <c r="AU21" s="34">
        <v>0.78</v>
      </c>
      <c r="AV21" s="34" t="s">
        <v>128</v>
      </c>
      <c r="BC21" s="134"/>
      <c r="BD21" s="85"/>
      <c r="BE21" s="34">
        <v>0.78</v>
      </c>
      <c r="BF21" s="34" t="s">
        <v>128</v>
      </c>
      <c r="BK21" s="54"/>
      <c r="BL21" s="114"/>
      <c r="BM21" s="114"/>
      <c r="BN21" s="50"/>
      <c r="BO21" s="58">
        <v>18</v>
      </c>
      <c r="BP21" s="34" t="s">
        <v>142</v>
      </c>
      <c r="BU21" s="52"/>
      <c r="CM21" s="50"/>
      <c r="CN21" s="67">
        <v>32</v>
      </c>
      <c r="CO21" s="34" t="s">
        <v>142</v>
      </c>
      <c r="CT21" s="52"/>
      <c r="CU21" s="54"/>
      <c r="CV21" s="114"/>
      <c r="CW21" s="114"/>
      <c r="CX21" s="50"/>
      <c r="CY21" s="67">
        <v>18</v>
      </c>
      <c r="CZ21" s="34" t="s">
        <v>142</v>
      </c>
      <c r="DE21" s="52"/>
      <c r="DH21" s="67">
        <v>31</v>
      </c>
      <c r="DI21" s="34" t="s">
        <v>143</v>
      </c>
      <c r="DK21" s="63">
        <v>34</v>
      </c>
      <c r="DL21" s="37" t="s">
        <v>143</v>
      </c>
      <c r="DT21" s="426" t="s">
        <v>23</v>
      </c>
      <c r="DU21" s="426"/>
      <c r="DV21" s="31">
        <f>'Avaliação Física 1'!N78</f>
        <v>0</v>
      </c>
      <c r="EH21" s="7">
        <v>24.5</v>
      </c>
      <c r="EI21" s="7" t="s">
        <v>32</v>
      </c>
      <c r="EL21" s="18" t="e">
        <f>IF(EJ4=0,SUM(1.097-(0.00046971*(DV23))+(0.00000056*(DV23*DV23))-(0.00012828*(DV9))),SUM(1.112-(0.00043499*(DV23))+(0.00000055*(DV23*DV23))-(0.00028826*(DV9))))</f>
        <v>#VALUE!</v>
      </c>
    </row>
    <row r="22" spans="2:144" ht="5.45" customHeight="1" x14ac:dyDescent="0.2">
      <c r="B22" s="227"/>
      <c r="Q22" s="227"/>
      <c r="AH22" s="109"/>
      <c r="AI22" s="109"/>
      <c r="AJ22" s="109" t="s">
        <v>57</v>
      </c>
      <c r="AK22" s="109"/>
      <c r="AL22" s="109" t="s">
        <v>58</v>
      </c>
      <c r="AU22" s="34">
        <v>0.83</v>
      </c>
      <c r="AV22" s="34" t="s">
        <v>129</v>
      </c>
      <c r="BC22" s="50"/>
      <c r="BE22" s="34">
        <v>0.83</v>
      </c>
      <c r="BF22" s="34" t="s">
        <v>129</v>
      </c>
      <c r="BK22" s="54"/>
      <c r="BL22" s="114"/>
      <c r="BM22" s="114"/>
      <c r="BN22" s="50"/>
      <c r="BO22" s="58">
        <v>25</v>
      </c>
      <c r="BP22" s="34" t="s">
        <v>140</v>
      </c>
      <c r="BU22" s="52"/>
      <c r="BZ22" s="108"/>
      <c r="CA22" s="108"/>
      <c r="CF22" s="126"/>
      <c r="CG22" s="126"/>
      <c r="CH22" s="126"/>
      <c r="CI22" s="126"/>
      <c r="CM22" s="50"/>
      <c r="CN22" s="67">
        <v>36</v>
      </c>
      <c r="CO22" s="34" t="s">
        <v>140</v>
      </c>
      <c r="CT22" s="52"/>
      <c r="CU22" s="54"/>
      <c r="CV22" s="114"/>
      <c r="CW22" s="114"/>
      <c r="CX22" s="50"/>
      <c r="CY22" s="67">
        <v>25</v>
      </c>
      <c r="CZ22" s="34" t="s">
        <v>140</v>
      </c>
      <c r="DE22" s="52"/>
      <c r="DH22" s="67">
        <v>38</v>
      </c>
      <c r="DI22" s="34" t="s">
        <v>140</v>
      </c>
      <c r="DK22" s="63">
        <v>45</v>
      </c>
      <c r="DL22" s="37" t="s">
        <v>140</v>
      </c>
      <c r="EH22" s="7">
        <v>30</v>
      </c>
      <c r="EI22" s="7" t="s">
        <v>33</v>
      </c>
    </row>
    <row r="23" spans="2:144" ht="15" customHeight="1" thickBot="1" x14ac:dyDescent="0.25">
      <c r="B23" s="227"/>
      <c r="C23" s="362" t="s">
        <v>225</v>
      </c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227"/>
      <c r="AH23" s="136" t="s">
        <v>224</v>
      </c>
      <c r="AI23" s="137"/>
      <c r="AJ23" s="31"/>
      <c r="AL23" s="31"/>
      <c r="AU23" s="35"/>
      <c r="AV23" s="35"/>
      <c r="AX23" s="123" t="s">
        <v>135</v>
      </c>
      <c r="AY23" s="123"/>
      <c r="AZ23" s="21"/>
      <c r="BC23" s="134"/>
      <c r="BD23" s="85"/>
      <c r="BE23" s="35"/>
      <c r="BF23" s="35"/>
      <c r="BH23" s="123" t="s">
        <v>135</v>
      </c>
      <c r="BI23" s="123"/>
      <c r="BJ23" s="21"/>
      <c r="BK23" s="54"/>
      <c r="BL23" s="114"/>
      <c r="BM23" s="114"/>
      <c r="BN23" s="50"/>
      <c r="BO23" s="35">
        <v>33</v>
      </c>
      <c r="BP23" s="35" t="s">
        <v>141</v>
      </c>
      <c r="BR23" s="123" t="s">
        <v>135</v>
      </c>
      <c r="BS23" s="123"/>
      <c r="BT23" s="21"/>
      <c r="BU23" s="52"/>
      <c r="CM23" s="50"/>
      <c r="CN23" s="66">
        <v>42</v>
      </c>
      <c r="CO23" s="35" t="s">
        <v>141</v>
      </c>
      <c r="CQ23" s="123" t="s">
        <v>135</v>
      </c>
      <c r="CR23" s="123"/>
      <c r="CS23" s="21"/>
      <c r="CT23" s="52"/>
      <c r="CU23" s="54"/>
      <c r="CV23" s="114"/>
      <c r="CW23" s="114"/>
      <c r="CX23" s="50"/>
      <c r="CY23" s="66">
        <v>33</v>
      </c>
      <c r="CZ23" s="35" t="s">
        <v>141</v>
      </c>
      <c r="DB23" s="123" t="s">
        <v>135</v>
      </c>
      <c r="DC23" s="123"/>
      <c r="DD23" s="21"/>
      <c r="DE23" s="52"/>
      <c r="DH23" s="66">
        <v>49</v>
      </c>
      <c r="DI23" s="35" t="s">
        <v>141</v>
      </c>
      <c r="DK23" s="64">
        <v>53</v>
      </c>
      <c r="DL23" s="38" t="s">
        <v>141</v>
      </c>
      <c r="DT23" s="426" t="s">
        <v>24</v>
      </c>
      <c r="DU23" s="426"/>
      <c r="DV23" s="8">
        <f>IF(DV15="","-",SUM(DV15:DV21))</f>
        <v>0</v>
      </c>
      <c r="EH23" s="7">
        <v>35</v>
      </c>
      <c r="EI23" s="7" t="s">
        <v>34</v>
      </c>
    </row>
    <row r="24" spans="2:144" ht="14.45" customHeight="1" x14ac:dyDescent="0.2">
      <c r="C24" s="23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  <c r="AH24" s="139"/>
      <c r="AI24" s="140"/>
      <c r="AJ24" s="31"/>
      <c r="AL24" s="31"/>
      <c r="AU24" s="35"/>
      <c r="AV24" s="35"/>
      <c r="AX24" s="125" t="s">
        <v>64</v>
      </c>
      <c r="AY24" s="125"/>
      <c r="BC24" s="134"/>
      <c r="BD24" s="85"/>
      <c r="BE24" s="35"/>
      <c r="BF24" s="35"/>
      <c r="BH24" s="125" t="s">
        <v>64</v>
      </c>
      <c r="BI24" s="125"/>
      <c r="BK24" s="54"/>
      <c r="BL24" s="114"/>
      <c r="BM24" s="114"/>
      <c r="BN24" s="50"/>
      <c r="BO24" s="35"/>
      <c r="BP24" s="35"/>
      <c r="BR24" s="125" t="s">
        <v>147</v>
      </c>
      <c r="BS24" s="125"/>
      <c r="BU24" s="52"/>
      <c r="CM24" s="50"/>
      <c r="CN24" s="35"/>
      <c r="CO24" s="35"/>
      <c r="CQ24" s="125" t="s">
        <v>147</v>
      </c>
      <c r="CR24" s="125"/>
      <c r="CT24" s="52"/>
      <c r="CU24" s="54"/>
      <c r="CV24" s="114"/>
      <c r="CW24" s="114"/>
      <c r="CX24" s="50"/>
      <c r="CY24" s="35"/>
      <c r="CZ24" s="35"/>
      <c r="DB24" s="125" t="s">
        <v>147</v>
      </c>
      <c r="DC24" s="125"/>
      <c r="DE24" s="52"/>
      <c r="DH24" s="35"/>
      <c r="DI24" s="35"/>
      <c r="DK24" s="38"/>
      <c r="DL24" s="38"/>
      <c r="EH24" s="7"/>
      <c r="EI24" s="7"/>
      <c r="EL24" s="13"/>
    </row>
    <row r="25" spans="2:144" ht="14.45" customHeight="1" x14ac:dyDescent="0.2">
      <c r="C25" s="240"/>
      <c r="D25" s="221" t="s">
        <v>247</v>
      </c>
      <c r="E25" s="221"/>
      <c r="F25" s="221"/>
      <c r="G25" s="221"/>
      <c r="H25" s="221"/>
      <c r="I25" s="221"/>
      <c r="J25" s="460"/>
      <c r="K25" s="460"/>
      <c r="L25" s="460"/>
      <c r="M25" s="460"/>
      <c r="N25" s="460"/>
      <c r="O25" s="221"/>
      <c r="P25" s="278"/>
      <c r="AH25" s="139"/>
      <c r="AI25" s="140"/>
      <c r="AJ25" s="31"/>
      <c r="AL25" s="31"/>
      <c r="AU25" s="124" t="s">
        <v>65</v>
      </c>
      <c r="AV25" s="124"/>
      <c r="AX25" s="40">
        <v>0.01</v>
      </c>
      <c r="AY25" s="37" t="s">
        <v>126</v>
      </c>
      <c r="BC25" s="134"/>
      <c r="BD25" s="85"/>
      <c r="BE25" s="124" t="s">
        <v>65</v>
      </c>
      <c r="BF25" s="124"/>
      <c r="BH25" s="40">
        <v>0.01</v>
      </c>
      <c r="BI25" s="37" t="s">
        <v>126</v>
      </c>
      <c r="BK25" s="54"/>
      <c r="BL25" s="114"/>
      <c r="BM25" s="114"/>
      <c r="BN25" s="50"/>
      <c r="BO25" s="124" t="s">
        <v>145</v>
      </c>
      <c r="BP25" s="124"/>
      <c r="BR25" s="63">
        <v>1</v>
      </c>
      <c r="BS25" s="37" t="s">
        <v>144</v>
      </c>
      <c r="BU25" s="52"/>
      <c r="BZ25" s="126" t="s">
        <v>41</v>
      </c>
      <c r="CA25" s="126"/>
      <c r="CB25" s="144">
        <f>CB17</f>
        <v>0</v>
      </c>
      <c r="CC25" s="145"/>
      <c r="CD25" s="126" t="s">
        <v>148</v>
      </c>
      <c r="CE25" s="126"/>
      <c r="CF25" s="144" t="str">
        <f>CF17</f>
        <v>-</v>
      </c>
      <c r="CG25" s="145"/>
      <c r="CH25" s="131" t="s">
        <v>197</v>
      </c>
      <c r="CI25" s="138"/>
      <c r="CJ25" s="10">
        <f>'Avaliação Física 1'!DV11</f>
        <v>0</v>
      </c>
      <c r="CM25" s="50"/>
      <c r="CN25" s="124" t="s">
        <v>145</v>
      </c>
      <c r="CO25" s="124"/>
      <c r="CQ25" s="63">
        <v>0</v>
      </c>
      <c r="CR25" s="37" t="s">
        <v>144</v>
      </c>
      <c r="CT25" s="52"/>
      <c r="CU25" s="54"/>
      <c r="CV25" s="114"/>
      <c r="CW25" s="114"/>
      <c r="CX25" s="50"/>
      <c r="CY25" s="124" t="s">
        <v>145</v>
      </c>
      <c r="CZ25" s="124"/>
      <c r="DB25" s="63">
        <v>0</v>
      </c>
      <c r="DC25" s="37" t="s">
        <v>144</v>
      </c>
      <c r="DE25" s="52"/>
      <c r="DH25" s="124" t="s">
        <v>65</v>
      </c>
      <c r="DI25" s="124"/>
      <c r="DK25" s="125" t="s">
        <v>65</v>
      </c>
      <c r="DL25" s="125"/>
      <c r="DU25" s="135"/>
      <c r="DV25" s="135" t="s">
        <v>25</v>
      </c>
      <c r="EH25" s="7">
        <v>40</v>
      </c>
      <c r="EI25" s="7" t="s">
        <v>35</v>
      </c>
      <c r="EL25" s="16" t="s">
        <v>47</v>
      </c>
    </row>
    <row r="26" spans="2:144" ht="14.45" customHeight="1" x14ac:dyDescent="0.2">
      <c r="C26" s="240"/>
      <c r="D26" s="221" t="s">
        <v>248</v>
      </c>
      <c r="E26" s="221"/>
      <c r="F26" s="221"/>
      <c r="G26" s="221"/>
      <c r="H26" s="221"/>
      <c r="I26" s="221"/>
      <c r="J26" s="460"/>
      <c r="K26" s="460"/>
      <c r="L26" s="460"/>
      <c r="M26" s="460"/>
      <c r="N26" s="460"/>
      <c r="O26" s="221"/>
      <c r="P26" s="278"/>
      <c r="AH26" s="139"/>
      <c r="AI26" s="140"/>
      <c r="AJ26" s="31"/>
      <c r="AL26" s="31"/>
      <c r="AO26" s="132"/>
      <c r="AP26" s="132"/>
      <c r="AU26" s="36">
        <v>0.01</v>
      </c>
      <c r="AV26" s="34" t="s">
        <v>126</v>
      </c>
      <c r="AX26" s="110">
        <v>0.83</v>
      </c>
      <c r="AY26" s="37" t="s">
        <v>127</v>
      </c>
      <c r="BC26" s="134"/>
      <c r="BD26" s="85"/>
      <c r="BE26" s="36">
        <v>0.01</v>
      </c>
      <c r="BF26" s="34" t="s">
        <v>126</v>
      </c>
      <c r="BH26" s="110">
        <v>0.83</v>
      </c>
      <c r="BI26" s="37" t="s">
        <v>127</v>
      </c>
      <c r="BK26" s="54"/>
      <c r="BL26" s="114"/>
      <c r="BM26" s="114"/>
      <c r="BN26" s="50"/>
      <c r="BO26" s="59">
        <v>1</v>
      </c>
      <c r="BP26" s="34" t="s">
        <v>144</v>
      </c>
      <c r="BR26" s="63">
        <v>18</v>
      </c>
      <c r="BS26" s="37" t="s">
        <v>143</v>
      </c>
      <c r="BU26" s="52"/>
      <c r="CF26" s="126"/>
      <c r="CG26" s="126"/>
      <c r="CM26" s="50"/>
      <c r="CN26" s="59">
        <v>0</v>
      </c>
      <c r="CO26" s="34" t="s">
        <v>144</v>
      </c>
      <c r="CQ26" s="63">
        <v>33</v>
      </c>
      <c r="CR26" s="37" t="s">
        <v>143</v>
      </c>
      <c r="CT26" s="52"/>
      <c r="CU26" s="54"/>
      <c r="CV26" s="114"/>
      <c r="CW26" s="114"/>
      <c r="CX26" s="50"/>
      <c r="CY26" s="59">
        <v>0</v>
      </c>
      <c r="CZ26" s="34" t="s">
        <v>144</v>
      </c>
      <c r="DB26" s="63">
        <v>18</v>
      </c>
      <c r="DC26" s="37" t="s">
        <v>143</v>
      </c>
      <c r="DE26" s="52"/>
      <c r="DH26" s="59">
        <v>0</v>
      </c>
      <c r="DI26" s="34" t="s">
        <v>196</v>
      </c>
      <c r="DK26" s="65">
        <v>0</v>
      </c>
      <c r="DL26" s="37" t="s">
        <v>196</v>
      </c>
      <c r="DT26" s="477" t="s">
        <v>120</v>
      </c>
      <c r="DU26" s="489"/>
      <c r="DV26" s="28" t="str">
        <f>IF(DV11=0,"-",(EL26))</f>
        <v>-</v>
      </c>
      <c r="EL26" s="19" t="e">
        <f>((4.95/EL21)-4.5)*100</f>
        <v>#VALUE!</v>
      </c>
    </row>
    <row r="27" spans="2:144" ht="15" customHeight="1" thickBot="1" x14ac:dyDescent="0.25">
      <c r="C27" s="240"/>
      <c r="D27" s="221" t="s">
        <v>249</v>
      </c>
      <c r="E27" s="221"/>
      <c r="F27" s="221"/>
      <c r="G27" s="221"/>
      <c r="H27" s="221"/>
      <c r="I27" s="221"/>
      <c r="J27" s="460"/>
      <c r="K27" s="460"/>
      <c r="L27" s="460"/>
      <c r="M27" s="460"/>
      <c r="N27" s="460"/>
      <c r="O27" s="221"/>
      <c r="P27" s="278"/>
      <c r="AU27" s="36">
        <v>0.72</v>
      </c>
      <c r="AV27" s="34" t="s">
        <v>127</v>
      </c>
      <c r="AX27" s="110">
        <v>0.89</v>
      </c>
      <c r="AY27" s="37" t="s">
        <v>128</v>
      </c>
      <c r="BC27" s="134"/>
      <c r="BD27" s="85"/>
      <c r="BE27" s="36">
        <v>0.72</v>
      </c>
      <c r="BF27" s="34" t="s">
        <v>127</v>
      </c>
      <c r="BH27" s="110">
        <v>0.89</v>
      </c>
      <c r="BI27" s="37" t="s">
        <v>128</v>
      </c>
      <c r="BK27" s="54"/>
      <c r="BL27" s="114"/>
      <c r="BM27" s="114"/>
      <c r="BN27" s="50"/>
      <c r="BO27" s="59">
        <v>10</v>
      </c>
      <c r="BP27" s="34" t="s">
        <v>143</v>
      </c>
      <c r="BR27" s="63">
        <v>23</v>
      </c>
      <c r="BS27" s="37" t="s">
        <v>142</v>
      </c>
      <c r="BU27" s="52"/>
      <c r="CA27" s="126" t="s">
        <v>199</v>
      </c>
      <c r="CB27" s="126"/>
      <c r="CC27" s="126"/>
      <c r="CF27" t="s">
        <v>200</v>
      </c>
      <c r="CM27" s="50"/>
      <c r="CN27" s="59">
        <v>21</v>
      </c>
      <c r="CO27" s="34" t="s">
        <v>143</v>
      </c>
      <c r="CQ27" s="63">
        <v>38</v>
      </c>
      <c r="CR27" s="37" t="s">
        <v>142</v>
      </c>
      <c r="CT27" s="52"/>
      <c r="CU27" s="54"/>
      <c r="CV27" s="114"/>
      <c r="CW27" s="114"/>
      <c r="CX27" s="50"/>
      <c r="CY27" s="59">
        <v>10</v>
      </c>
      <c r="CZ27" s="34" t="s">
        <v>143</v>
      </c>
      <c r="DB27" s="63">
        <v>23</v>
      </c>
      <c r="DC27" s="37" t="s">
        <v>142</v>
      </c>
      <c r="DE27" s="52"/>
      <c r="DH27" s="59">
        <v>20</v>
      </c>
      <c r="DI27" s="34" t="s">
        <v>144</v>
      </c>
      <c r="DK27" s="65">
        <v>23</v>
      </c>
      <c r="DL27" s="37" t="s">
        <v>144</v>
      </c>
      <c r="DT27" s="477" t="s">
        <v>121</v>
      </c>
      <c r="DU27" s="489"/>
      <c r="DV27" s="9" t="str">
        <f>IF(DV11=0,"-",(DV11-DV28))</f>
        <v>-</v>
      </c>
      <c r="EL27" s="15"/>
    </row>
    <row r="28" spans="2:144" ht="14.45" customHeight="1" x14ac:dyDescent="0.2">
      <c r="C28" s="240"/>
      <c r="D28" s="221" t="s">
        <v>250</v>
      </c>
      <c r="E28" s="221"/>
      <c r="F28" s="221"/>
      <c r="G28" s="221"/>
      <c r="H28" s="221"/>
      <c r="I28" s="221"/>
      <c r="J28" s="460"/>
      <c r="K28" s="460"/>
      <c r="L28" s="460"/>
      <c r="M28" s="460"/>
      <c r="N28" s="460"/>
      <c r="O28" s="221"/>
      <c r="P28" s="278"/>
      <c r="AU28" s="36">
        <v>0.79</v>
      </c>
      <c r="AV28" s="34" t="s">
        <v>128</v>
      </c>
      <c r="AX28" s="110">
        <v>0.95</v>
      </c>
      <c r="AY28" s="37" t="s">
        <v>129</v>
      </c>
      <c r="BC28" s="50"/>
      <c r="BE28" s="36">
        <v>0.01</v>
      </c>
      <c r="BF28" s="34" t="s">
        <v>126</v>
      </c>
      <c r="BH28" s="39">
        <v>0.01</v>
      </c>
      <c r="BI28" s="37" t="s">
        <v>126</v>
      </c>
      <c r="BK28" s="52"/>
      <c r="BN28" s="50"/>
      <c r="BO28" s="59">
        <v>1</v>
      </c>
      <c r="BP28" s="34" t="s">
        <v>144</v>
      </c>
      <c r="BR28" s="65">
        <v>1</v>
      </c>
      <c r="BS28" s="37" t="s">
        <v>144</v>
      </c>
      <c r="BU28" s="52"/>
      <c r="CB28" s="151" t="e">
        <f>'Avaliação Física 1'!D290:E290</f>
        <v>#VALUE!</v>
      </c>
      <c r="CC28" s="152"/>
      <c r="CF28" s="155" t="e">
        <f>((CB28/1000)*60)/12</f>
        <v>#VALUE!</v>
      </c>
      <c r="CG28" s="156"/>
      <c r="CJ28" s="87" t="e">
        <f>CF28</f>
        <v>#VALUE!</v>
      </c>
      <c r="CL28" s="6"/>
      <c r="CM28" s="50"/>
      <c r="CN28" s="59">
        <v>25</v>
      </c>
      <c r="CO28" s="34" t="s">
        <v>142</v>
      </c>
      <c r="CQ28" s="63">
        <v>42</v>
      </c>
      <c r="CR28" s="37" t="s">
        <v>140</v>
      </c>
      <c r="CT28" s="52"/>
      <c r="CU28" s="52"/>
      <c r="CX28" s="50"/>
      <c r="CY28" s="59">
        <v>15</v>
      </c>
      <c r="CZ28" s="34" t="s">
        <v>142</v>
      </c>
      <c r="DB28" s="63">
        <v>29</v>
      </c>
      <c r="DC28" s="37" t="s">
        <v>140</v>
      </c>
      <c r="DE28" s="52"/>
      <c r="DH28" s="59">
        <v>28</v>
      </c>
      <c r="DI28" s="34" t="s">
        <v>143</v>
      </c>
      <c r="DK28" s="70">
        <v>31</v>
      </c>
      <c r="DL28" s="37" t="s">
        <v>143</v>
      </c>
      <c r="DT28" s="477" t="s">
        <v>122</v>
      </c>
      <c r="DU28" s="489"/>
      <c r="DV28" s="9" t="str">
        <f>IF(DV11=0,"-",(DV11-EI28))</f>
        <v>-</v>
      </c>
      <c r="EI28" s="29" t="e">
        <f>DV11*DV26%</f>
        <v>#VALUE!</v>
      </c>
    </row>
    <row r="29" spans="2:144" ht="14.45" customHeight="1" x14ac:dyDescent="0.2">
      <c r="C29" s="240"/>
      <c r="D29" s="221" t="s">
        <v>98</v>
      </c>
      <c r="E29" s="221"/>
      <c r="F29" s="221"/>
      <c r="G29" s="221"/>
      <c r="H29" s="221"/>
      <c r="I29" s="221"/>
      <c r="J29" s="460"/>
      <c r="K29" s="460"/>
      <c r="L29" s="460"/>
      <c r="M29" s="460"/>
      <c r="N29" s="460"/>
      <c r="O29" s="221"/>
      <c r="P29" s="278"/>
      <c r="AU29" s="36">
        <v>0.85</v>
      </c>
      <c r="AV29" s="34" t="s">
        <v>129</v>
      </c>
      <c r="AX29" s="38"/>
      <c r="AY29" s="38"/>
      <c r="BC29" s="50"/>
      <c r="BE29" s="36">
        <v>0.76</v>
      </c>
      <c r="BF29" s="34" t="s">
        <v>127</v>
      </c>
      <c r="BH29" s="41">
        <v>0.9</v>
      </c>
      <c r="BI29" s="37" t="s">
        <v>127</v>
      </c>
      <c r="BK29" s="52"/>
      <c r="BN29" s="50"/>
      <c r="BO29" s="59">
        <v>2</v>
      </c>
      <c r="BP29" s="34" t="s">
        <v>143</v>
      </c>
      <c r="BR29" s="65">
        <v>10</v>
      </c>
      <c r="BS29" s="37" t="s">
        <v>143</v>
      </c>
      <c r="BU29" s="52"/>
      <c r="CJ29" s="88" t="e">
        <f>CB28</f>
        <v>#VALUE!</v>
      </c>
      <c r="CM29" s="50"/>
      <c r="CN29" s="59">
        <v>31</v>
      </c>
      <c r="CO29" s="34" t="s">
        <v>140</v>
      </c>
      <c r="CQ29" s="64">
        <v>48</v>
      </c>
      <c r="CR29" s="38" t="s">
        <v>141</v>
      </c>
      <c r="CT29" s="52"/>
      <c r="CU29" s="52"/>
      <c r="CX29" s="50"/>
      <c r="CY29" s="59">
        <v>21</v>
      </c>
      <c r="CZ29" s="34" t="s">
        <v>140</v>
      </c>
      <c r="DB29" s="64">
        <v>39</v>
      </c>
      <c r="DC29" s="38" t="s">
        <v>141</v>
      </c>
      <c r="DE29" s="52"/>
      <c r="DH29" s="59">
        <v>38</v>
      </c>
      <c r="DI29" s="34" t="s">
        <v>140</v>
      </c>
      <c r="DK29" s="70">
        <v>39</v>
      </c>
      <c r="DL29" s="37" t="s">
        <v>140</v>
      </c>
    </row>
    <row r="30" spans="2:144" ht="14.45" customHeight="1" x14ac:dyDescent="0.2">
      <c r="C30" s="240"/>
      <c r="D30" s="221" t="s">
        <v>251</v>
      </c>
      <c r="E30" s="221"/>
      <c r="F30" s="221"/>
      <c r="G30" s="221"/>
      <c r="H30" s="221"/>
      <c r="I30" s="221"/>
      <c r="J30" s="460"/>
      <c r="K30" s="460"/>
      <c r="L30" s="460"/>
      <c r="M30" s="460"/>
      <c r="N30" s="460"/>
      <c r="O30" s="221"/>
      <c r="P30" s="278"/>
      <c r="AG30" s="141" t="s">
        <v>151</v>
      </c>
      <c r="AH30" s="141"/>
      <c r="AI30" s="141"/>
      <c r="AJ30" s="83">
        <f>'Avaliação Física 1'!G94</f>
        <v>0</v>
      </c>
      <c r="AO30" s="142" t="e">
        <f>IF(AND(BF49&gt;BF47,BF47&gt;BF48),"ECTOMORFO-ENDOMORFO","")</f>
        <v>#DIV/0!</v>
      </c>
      <c r="AP30" s="142"/>
      <c r="AQ30" s="142"/>
      <c r="AR30" s="142"/>
      <c r="AU30" s="35"/>
      <c r="AV30" s="35"/>
      <c r="AX30" s="38"/>
      <c r="AY30" s="38"/>
      <c r="BC30" s="50"/>
      <c r="BE30" s="36">
        <v>0.84</v>
      </c>
      <c r="BF30" s="34" t="s">
        <v>128</v>
      </c>
      <c r="BH30" s="39">
        <v>0.97</v>
      </c>
      <c r="BI30" s="37" t="s">
        <v>128</v>
      </c>
      <c r="BK30" s="52"/>
      <c r="BN30" s="50"/>
      <c r="BO30" s="59">
        <v>7</v>
      </c>
      <c r="BP30" s="34" t="s">
        <v>142</v>
      </c>
      <c r="BR30" s="65">
        <v>13</v>
      </c>
      <c r="BS30" s="37" t="s">
        <v>142</v>
      </c>
      <c r="BU30" s="52"/>
      <c r="CA30" s="126" t="s">
        <v>198</v>
      </c>
      <c r="CB30" s="126"/>
      <c r="CC30" s="126"/>
      <c r="CD30" s="126"/>
      <c r="CF30" s="126" t="s">
        <v>150</v>
      </c>
      <c r="CG30" s="126"/>
      <c r="CJ30" s="89">
        <f>CB31</f>
        <v>-11.2</v>
      </c>
      <c r="CM30" s="50"/>
      <c r="CN30" s="60">
        <v>36</v>
      </c>
      <c r="CO30" s="35" t="s">
        <v>141</v>
      </c>
      <c r="CQ30" s="38"/>
      <c r="CR30" s="38"/>
      <c r="CT30" s="52"/>
      <c r="CU30" s="52"/>
      <c r="CX30" s="50"/>
      <c r="CY30" s="60">
        <v>30</v>
      </c>
      <c r="CZ30" s="35" t="s">
        <v>141</v>
      </c>
      <c r="DB30" s="38"/>
      <c r="DC30" s="38"/>
      <c r="DE30" s="52"/>
      <c r="DH30" s="60">
        <v>45</v>
      </c>
      <c r="DI30" s="35" t="s">
        <v>141</v>
      </c>
      <c r="DK30" s="64">
        <v>49</v>
      </c>
      <c r="DL30" s="38" t="s">
        <v>141</v>
      </c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</row>
    <row r="31" spans="2:144" ht="14.45" customHeight="1" x14ac:dyDescent="0.2">
      <c r="C31" s="240"/>
      <c r="D31" s="221" t="s">
        <v>99</v>
      </c>
      <c r="E31" s="221"/>
      <c r="F31" s="221"/>
      <c r="G31" s="221"/>
      <c r="H31" s="221"/>
      <c r="I31" s="221"/>
      <c r="J31" s="460"/>
      <c r="K31" s="460"/>
      <c r="L31" s="460"/>
      <c r="M31" s="460"/>
      <c r="N31" s="460"/>
      <c r="O31" s="221"/>
      <c r="P31" s="278"/>
      <c r="AH31" s="141" t="s">
        <v>152</v>
      </c>
      <c r="AI31" s="141"/>
      <c r="AJ31" s="31">
        <f>'Avaliação Física 1'!K94</f>
        <v>0</v>
      </c>
      <c r="AO31" s="142" t="e">
        <f>IF(AND(BF47&gt;BF49,BF49&gt;BF48),"ENDOMORFO-ECTOMORFO","")</f>
        <v>#DIV/0!</v>
      </c>
      <c r="AP31" s="142"/>
      <c r="AQ31" s="142"/>
      <c r="AR31" s="142"/>
      <c r="AU31" s="124" t="s">
        <v>130</v>
      </c>
      <c r="AV31" s="124"/>
      <c r="AX31" s="125" t="s">
        <v>65</v>
      </c>
      <c r="AY31" s="125"/>
      <c r="BC31" s="50"/>
      <c r="BE31" s="36">
        <v>0.91</v>
      </c>
      <c r="BF31" s="34" t="s">
        <v>129</v>
      </c>
      <c r="BH31" s="39">
        <v>1.03</v>
      </c>
      <c r="BI31" s="37" t="s">
        <v>129</v>
      </c>
      <c r="BK31" s="52"/>
      <c r="BN31" s="50"/>
      <c r="BO31" s="59">
        <v>11</v>
      </c>
      <c r="BP31" s="34" t="s">
        <v>140</v>
      </c>
      <c r="BR31" s="65">
        <v>17</v>
      </c>
      <c r="BS31" s="37" t="s">
        <v>140</v>
      </c>
      <c r="BU31" s="52"/>
      <c r="CB31" s="157">
        <f>('Avaliação Física 1'!D290-504)/45</f>
        <v>-11.2</v>
      </c>
      <c r="CC31" s="158"/>
      <c r="CD31" s="159"/>
      <c r="CF31" s="153" t="e">
        <f>IF(CB28="","-",DN12)</f>
        <v>#VALUE!</v>
      </c>
      <c r="CG31" s="154"/>
      <c r="CJ31" s="90" t="e">
        <f>CF31</f>
        <v>#VALUE!</v>
      </c>
      <c r="CM31" s="50"/>
      <c r="CN31" s="146" t="s">
        <v>146</v>
      </c>
      <c r="CO31" s="147"/>
      <c r="CQ31" s="125" t="s">
        <v>64</v>
      </c>
      <c r="CR31" s="125"/>
      <c r="CT31" s="52"/>
      <c r="CU31" s="52"/>
      <c r="CX31" s="50"/>
      <c r="CY31" s="146" t="s">
        <v>146</v>
      </c>
      <c r="CZ31" s="147"/>
      <c r="DB31" s="125" t="s">
        <v>64</v>
      </c>
      <c r="DC31" s="125"/>
      <c r="DE31" s="52"/>
      <c r="DH31" s="146" t="s">
        <v>194</v>
      </c>
      <c r="DI31" s="147"/>
      <c r="DK31" s="149" t="s">
        <v>194</v>
      </c>
      <c r="DL31" s="150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I31" s="426" t="s">
        <v>118</v>
      </c>
      <c r="EJ31" s="426"/>
      <c r="EK31" s="8">
        <f>DV11</f>
        <v>0</v>
      </c>
    </row>
    <row r="32" spans="2:144" ht="14.45" customHeight="1" x14ac:dyDescent="0.2">
      <c r="C32" s="240"/>
      <c r="D32" s="221" t="s">
        <v>100</v>
      </c>
      <c r="E32" s="221"/>
      <c r="F32" s="221"/>
      <c r="G32" s="221"/>
      <c r="H32" s="221"/>
      <c r="I32" s="221"/>
      <c r="J32" s="460"/>
      <c r="K32" s="460"/>
      <c r="L32" s="460"/>
      <c r="M32" s="460"/>
      <c r="N32" s="460"/>
      <c r="O32" s="221"/>
      <c r="P32" s="278"/>
      <c r="AH32" s="141" t="s">
        <v>153</v>
      </c>
      <c r="AI32" s="141"/>
      <c r="AJ32" s="84">
        <f>'Avaliação Física 1'!G95</f>
        <v>0</v>
      </c>
      <c r="AN32" s="109" t="s">
        <v>188</v>
      </c>
      <c r="AO32" s="142" t="e">
        <f>IF(AND(BF47=BF48,BF49&gt;BF48),"ECTOMORFO","")</f>
        <v>#DIV/0!</v>
      </c>
      <c r="AP32" s="142"/>
      <c r="AQ32" s="142"/>
      <c r="AR32" s="142"/>
      <c r="AU32" s="36">
        <v>0.01</v>
      </c>
      <c r="AV32" s="34" t="s">
        <v>126</v>
      </c>
      <c r="AX32" s="39">
        <v>0.01</v>
      </c>
      <c r="AY32" s="37" t="s">
        <v>126</v>
      </c>
      <c r="BC32" s="50"/>
      <c r="BH32" s="38"/>
      <c r="BI32" s="38"/>
      <c r="BK32" s="52"/>
      <c r="BN32" s="50"/>
      <c r="BO32" s="60">
        <v>21</v>
      </c>
      <c r="BP32" s="35" t="s">
        <v>141</v>
      </c>
      <c r="BR32" s="64">
        <v>22</v>
      </c>
      <c r="BS32" s="38" t="s">
        <v>141</v>
      </c>
      <c r="BU32" s="52"/>
      <c r="CM32" s="50"/>
      <c r="CN32" s="59">
        <v>0</v>
      </c>
      <c r="CO32" s="34" t="s">
        <v>144</v>
      </c>
      <c r="CQ32" s="65">
        <v>0</v>
      </c>
      <c r="CR32" s="37" t="s">
        <v>144</v>
      </c>
      <c r="CT32" s="52"/>
      <c r="CU32" s="52"/>
      <c r="CX32" s="50"/>
      <c r="CY32" s="59">
        <v>0</v>
      </c>
      <c r="CZ32" s="34" t="s">
        <v>144</v>
      </c>
      <c r="DB32" s="65">
        <v>0</v>
      </c>
      <c r="DC32" s="37" t="s">
        <v>144</v>
      </c>
      <c r="DE32" s="52"/>
      <c r="DH32" s="59">
        <v>0</v>
      </c>
      <c r="DI32" s="34" t="s">
        <v>196</v>
      </c>
      <c r="DK32" s="65">
        <v>0</v>
      </c>
      <c r="DL32" s="37" t="s">
        <v>196</v>
      </c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I32" s="426" t="s">
        <v>122</v>
      </c>
      <c r="EJ32" s="483"/>
      <c r="EK32" s="9" t="str">
        <f>DV28</f>
        <v>-</v>
      </c>
    </row>
    <row r="33" spans="3:141" ht="14.45" customHeight="1" x14ac:dyDescent="0.2">
      <c r="C33" s="240"/>
      <c r="D33" s="221" t="s">
        <v>101</v>
      </c>
      <c r="E33" s="221"/>
      <c r="F33" s="221"/>
      <c r="G33" s="221"/>
      <c r="H33" s="221"/>
      <c r="I33" s="221"/>
      <c r="J33" s="460"/>
      <c r="K33" s="460"/>
      <c r="L33" s="460"/>
      <c r="M33" s="460"/>
      <c r="N33" s="460"/>
      <c r="O33" s="221"/>
      <c r="P33" s="278"/>
      <c r="AO33" s="142" t="e">
        <f>IF(AND(BF48&gt;BF49,BF49&gt;BF47),"MESOMORFO-ECTOMÓRFICO","")</f>
        <v>#DIV/0!</v>
      </c>
      <c r="AP33" s="142"/>
      <c r="AQ33" s="142"/>
      <c r="AR33" s="142"/>
      <c r="AU33" s="36">
        <v>0.73</v>
      </c>
      <c r="AV33" s="34" t="s">
        <v>127</v>
      </c>
      <c r="AX33" s="39">
        <v>0.84</v>
      </c>
      <c r="AY33" s="37" t="s">
        <v>127</v>
      </c>
      <c r="BC33" s="50"/>
      <c r="BH33" s="125" t="s">
        <v>66</v>
      </c>
      <c r="BI33" s="125"/>
      <c r="BK33" s="52"/>
      <c r="BN33" s="50"/>
      <c r="BR33" s="125" t="s">
        <v>131</v>
      </c>
      <c r="BS33" s="125"/>
      <c r="BU33" s="52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M33" s="50"/>
      <c r="CN33" s="59">
        <v>15</v>
      </c>
      <c r="CO33" s="34" t="s">
        <v>143</v>
      </c>
      <c r="CQ33" s="65">
        <v>29</v>
      </c>
      <c r="CR33" s="37" t="s">
        <v>143</v>
      </c>
      <c r="CT33" s="52"/>
      <c r="CU33" s="52"/>
      <c r="CX33" s="50"/>
      <c r="CY33" s="59">
        <v>8</v>
      </c>
      <c r="CZ33" s="34" t="s">
        <v>143</v>
      </c>
      <c r="DB33" s="65">
        <v>17</v>
      </c>
      <c r="DC33" s="37" t="s">
        <v>143</v>
      </c>
      <c r="DE33" s="52"/>
      <c r="DH33" s="59">
        <v>17</v>
      </c>
      <c r="DI33" s="34" t="s">
        <v>144</v>
      </c>
      <c r="DK33" s="65">
        <v>20</v>
      </c>
      <c r="DL33" s="37" t="s">
        <v>144</v>
      </c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I33" s="11"/>
      <c r="EJ33" s="30"/>
      <c r="EK33" s="9"/>
    </row>
    <row r="34" spans="3:141" ht="14.45" customHeight="1" x14ac:dyDescent="0.2">
      <c r="C34" s="240"/>
      <c r="D34" s="221" t="s">
        <v>102</v>
      </c>
      <c r="E34" s="221"/>
      <c r="F34" s="221"/>
      <c r="G34" s="221"/>
      <c r="H34" s="221"/>
      <c r="I34" s="221"/>
      <c r="J34" s="460"/>
      <c r="K34" s="460"/>
      <c r="L34" s="460"/>
      <c r="M34" s="460"/>
      <c r="N34" s="460"/>
      <c r="O34" s="221"/>
      <c r="P34" s="278"/>
      <c r="Y34" s="163" t="s">
        <v>267</v>
      </c>
      <c r="Z34" s="3"/>
      <c r="AA34" s="3"/>
      <c r="AB34" s="164"/>
      <c r="AO34" s="142" t="e">
        <f>IF(AND(BF49&gt;BF48,BF48&gt;BF47),"ECTOMORFO-MESOMORFO","")</f>
        <v>#DIV/0!</v>
      </c>
      <c r="AP34" s="142"/>
      <c r="AQ34" s="142"/>
      <c r="AR34" s="142"/>
      <c r="AU34" s="36">
        <v>0.8</v>
      </c>
      <c r="AV34" s="34" t="s">
        <v>128</v>
      </c>
      <c r="AX34" s="39">
        <v>0.92</v>
      </c>
      <c r="AY34" s="37" t="s">
        <v>128</v>
      </c>
      <c r="BC34" s="50"/>
      <c r="BH34" s="41">
        <v>0.01</v>
      </c>
      <c r="BI34" s="37" t="s">
        <v>126</v>
      </c>
      <c r="BK34" s="52"/>
      <c r="BN34" s="50"/>
      <c r="BO34" s="124" t="s">
        <v>66</v>
      </c>
      <c r="BP34" s="124"/>
      <c r="BR34" s="65">
        <v>1</v>
      </c>
      <c r="BS34" s="37" t="s">
        <v>144</v>
      </c>
      <c r="BU34" s="52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M34" s="50"/>
      <c r="CN34" s="69">
        <v>20</v>
      </c>
      <c r="CO34" s="35" t="s">
        <v>142</v>
      </c>
      <c r="CQ34" s="70">
        <v>33</v>
      </c>
      <c r="CR34" s="38" t="s">
        <v>142</v>
      </c>
      <c r="CT34" s="52"/>
      <c r="CU34" s="52"/>
      <c r="CX34" s="50"/>
      <c r="CY34" s="69">
        <v>13</v>
      </c>
      <c r="CZ34" s="35" t="s">
        <v>142</v>
      </c>
      <c r="DB34" s="70">
        <v>22</v>
      </c>
      <c r="DC34" s="38" t="s">
        <v>142</v>
      </c>
      <c r="DE34" s="52"/>
      <c r="DH34" s="69">
        <v>24</v>
      </c>
      <c r="DI34" s="34" t="s">
        <v>143</v>
      </c>
      <c r="DK34" s="65">
        <v>27</v>
      </c>
      <c r="DL34" s="37" t="s">
        <v>143</v>
      </c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I34" s="11"/>
      <c r="EJ34" s="30"/>
      <c r="EK34" s="9"/>
    </row>
    <row r="35" spans="3:141" ht="14.45" customHeight="1" x14ac:dyDescent="0.2">
      <c r="C35" s="240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78"/>
      <c r="Y35" s="2">
        <f>F78+J79+N77</f>
        <v>0</v>
      </c>
      <c r="Z35" s="106"/>
      <c r="AA35" s="106"/>
      <c r="AB35" s="165"/>
      <c r="AO35" s="142" t="e">
        <f>IF(AND(BF48&gt;BF47,BF48=BF49),"MESOECTOMORFO","")</f>
        <v>#DIV/0!</v>
      </c>
      <c r="AP35" s="142"/>
      <c r="AQ35" s="142"/>
      <c r="AR35" s="142"/>
      <c r="AU35" s="36">
        <v>0.88</v>
      </c>
      <c r="AV35" s="34" t="s">
        <v>129</v>
      </c>
      <c r="AX35" s="39">
        <v>0.96</v>
      </c>
      <c r="AY35" s="37" t="s">
        <v>129</v>
      </c>
      <c r="BC35" s="50"/>
      <c r="BH35" s="41"/>
      <c r="BI35" s="37"/>
      <c r="BK35" s="52"/>
      <c r="BN35" s="50"/>
      <c r="BO35" s="66"/>
      <c r="BP35" s="112"/>
      <c r="BR35" s="65"/>
      <c r="BS35" s="37"/>
      <c r="BU35" s="52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M35" s="50"/>
      <c r="CN35" s="69">
        <v>24</v>
      </c>
      <c r="CO35" s="35" t="s">
        <v>140</v>
      </c>
      <c r="CQ35" s="70">
        <v>37</v>
      </c>
      <c r="CR35" s="38" t="s">
        <v>140</v>
      </c>
      <c r="CT35" s="52"/>
      <c r="CU35" s="52"/>
      <c r="CX35" s="50"/>
      <c r="CY35" s="69">
        <v>20</v>
      </c>
      <c r="CZ35" s="35" t="s">
        <v>140</v>
      </c>
      <c r="DB35" s="70">
        <v>19</v>
      </c>
      <c r="DC35" s="38" t="s">
        <v>140</v>
      </c>
      <c r="DE35" s="52"/>
      <c r="DH35" s="69">
        <v>31</v>
      </c>
      <c r="DI35" s="34" t="s">
        <v>140</v>
      </c>
      <c r="DK35" s="65">
        <v>36</v>
      </c>
      <c r="DL35" s="37" t="s">
        <v>140</v>
      </c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I35" s="11"/>
      <c r="EJ35" s="30"/>
      <c r="EK35" s="9"/>
    </row>
    <row r="36" spans="3:141" ht="14.45" customHeight="1" x14ac:dyDescent="0.2">
      <c r="C36" s="240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78"/>
      <c r="Y36" s="2"/>
      <c r="Z36" s="106"/>
      <c r="AA36" s="106"/>
      <c r="AB36" s="165"/>
      <c r="AO36" s="142" t="e">
        <f>IF(AND(BF48&gt;BF47,BF47&gt;BF49),"MESOMORFO-ENDOMÓRFICO","")</f>
        <v>#DIV/0!</v>
      </c>
      <c r="AP36" s="142"/>
      <c r="AQ36" s="142"/>
      <c r="AR36" s="142"/>
      <c r="AU36" s="35"/>
      <c r="AV36" s="35"/>
      <c r="AX36" s="38"/>
      <c r="AY36" s="38"/>
      <c r="BC36" s="50"/>
      <c r="BH36" s="41"/>
      <c r="BI36" s="37"/>
      <c r="BK36" s="52"/>
      <c r="BN36" s="50"/>
      <c r="BO36" s="66"/>
      <c r="BP36" s="112"/>
      <c r="BR36" s="65"/>
      <c r="BS36" s="37"/>
      <c r="BU36" s="52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M36" s="50"/>
      <c r="CN36" s="60">
        <v>29</v>
      </c>
      <c r="CO36" s="35" t="s">
        <v>141</v>
      </c>
      <c r="CQ36" s="64">
        <v>43</v>
      </c>
      <c r="CR36" s="38" t="s">
        <v>141</v>
      </c>
      <c r="CT36" s="52"/>
      <c r="CU36" s="52"/>
      <c r="CX36" s="50"/>
      <c r="CY36" s="60">
        <v>27</v>
      </c>
      <c r="CZ36" s="35" t="s">
        <v>141</v>
      </c>
      <c r="DB36" s="64">
        <v>36</v>
      </c>
      <c r="DC36" s="38" t="s">
        <v>141</v>
      </c>
      <c r="DE36" s="52"/>
      <c r="DH36" s="60">
        <v>42</v>
      </c>
      <c r="DI36" s="35" t="s">
        <v>141</v>
      </c>
      <c r="DK36" s="64">
        <v>45</v>
      </c>
      <c r="DL36" s="38" t="s">
        <v>141</v>
      </c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I36" s="426" t="s">
        <v>121</v>
      </c>
      <c r="EJ36" s="483"/>
      <c r="EK36" s="9" t="str">
        <f>DV27</f>
        <v>-</v>
      </c>
    </row>
    <row r="37" spans="3:141" x14ac:dyDescent="0.2">
      <c r="C37" s="240"/>
      <c r="D37" s="221" t="s">
        <v>245</v>
      </c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78"/>
      <c r="Y37" s="2" t="s">
        <v>268</v>
      </c>
      <c r="Z37" s="106"/>
      <c r="AA37" s="106"/>
      <c r="AB37" s="165"/>
      <c r="AN37" s="109" t="s">
        <v>189</v>
      </c>
      <c r="AO37" s="142" t="e">
        <f>IF(AND(BF48&gt;BF47,BF47=BF49),"MESOMORFO","")</f>
        <v>#DIV/0!</v>
      </c>
      <c r="AP37" s="142"/>
      <c r="AQ37" s="142"/>
      <c r="AR37" s="142"/>
      <c r="AU37" s="124" t="s">
        <v>131</v>
      </c>
      <c r="AV37" s="124"/>
      <c r="AX37" s="125" t="s">
        <v>130</v>
      </c>
      <c r="AY37" s="125"/>
      <c r="BC37" s="50"/>
      <c r="BH37" s="41"/>
      <c r="BI37" s="37"/>
      <c r="BK37" s="52"/>
      <c r="BN37" s="50"/>
      <c r="BO37" s="66"/>
      <c r="BP37" s="112"/>
      <c r="BR37" s="65"/>
      <c r="BS37" s="37"/>
      <c r="BU37" s="52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M37" s="50"/>
      <c r="CN37" s="124" t="s">
        <v>130</v>
      </c>
      <c r="CO37" s="124"/>
      <c r="CQ37" s="125" t="s">
        <v>65</v>
      </c>
      <c r="CR37" s="125"/>
      <c r="CT37" s="52"/>
      <c r="CU37" s="52"/>
      <c r="CX37" s="50"/>
      <c r="CY37" s="124" t="s">
        <v>130</v>
      </c>
      <c r="CZ37" s="124"/>
      <c r="DB37" s="125" t="s">
        <v>65</v>
      </c>
      <c r="DC37" s="125"/>
      <c r="DE37" s="52"/>
      <c r="DH37" s="124" t="s">
        <v>131</v>
      </c>
      <c r="DI37" s="124"/>
      <c r="DK37" s="125" t="s">
        <v>131</v>
      </c>
      <c r="DL37" s="125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I37" s="11"/>
      <c r="EJ37" s="30"/>
      <c r="EK37" s="9"/>
    </row>
    <row r="38" spans="3:141" x14ac:dyDescent="0.2">
      <c r="C38" s="240"/>
      <c r="D38" s="377" t="s">
        <v>255</v>
      </c>
      <c r="E38" s="377"/>
      <c r="F38" s="460"/>
      <c r="G38" s="460"/>
      <c r="H38" s="460"/>
      <c r="I38" s="460"/>
      <c r="J38" s="460"/>
      <c r="K38" s="460"/>
      <c r="L38" s="460"/>
      <c r="M38" s="460"/>
      <c r="N38" s="460"/>
      <c r="O38" s="221"/>
      <c r="P38" s="278"/>
      <c r="Y38" s="166">
        <f>N78+J79+F77</f>
        <v>0</v>
      </c>
      <c r="Z38" s="1"/>
      <c r="AA38" s="1"/>
      <c r="AB38" s="168"/>
      <c r="AO38" s="142" t="e">
        <f>IF(AND(BF47=BF48,BF48&gt;BF49),"MESOENDOMORFO","")</f>
        <v>#DIV/0!</v>
      </c>
      <c r="AP38" s="142"/>
      <c r="AQ38" s="142"/>
      <c r="AR38" s="142"/>
      <c r="AU38" s="36">
        <v>0.01</v>
      </c>
      <c r="AV38" s="34" t="s">
        <v>126</v>
      </c>
      <c r="AX38" s="39">
        <v>0.01</v>
      </c>
      <c r="AY38" s="37" t="s">
        <v>126</v>
      </c>
      <c r="BC38" s="50"/>
      <c r="BH38" s="39">
        <v>0.91</v>
      </c>
      <c r="BI38" s="37" t="s">
        <v>127</v>
      </c>
      <c r="BK38" s="52"/>
      <c r="BN38" s="50"/>
      <c r="BO38" s="60">
        <v>1</v>
      </c>
      <c r="BP38" s="34" t="s">
        <v>144</v>
      </c>
      <c r="BR38" s="65">
        <v>7</v>
      </c>
      <c r="BS38" s="37" t="s">
        <v>143</v>
      </c>
      <c r="BU38" s="52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M38" s="50"/>
      <c r="CN38" s="59">
        <v>0</v>
      </c>
      <c r="CO38" s="34" t="s">
        <v>144</v>
      </c>
      <c r="CQ38" s="65">
        <v>0</v>
      </c>
      <c r="CR38" s="37" t="s">
        <v>144</v>
      </c>
      <c r="CT38" s="52"/>
      <c r="CU38" s="52"/>
      <c r="CX38" s="50"/>
      <c r="CY38" s="59">
        <v>0</v>
      </c>
      <c r="CZ38" s="34" t="s">
        <v>144</v>
      </c>
      <c r="DB38" s="65">
        <v>0</v>
      </c>
      <c r="DC38" s="37" t="s">
        <v>144</v>
      </c>
      <c r="DE38" s="52"/>
      <c r="DH38" s="59">
        <v>0</v>
      </c>
      <c r="DI38" s="34" t="s">
        <v>196</v>
      </c>
      <c r="DK38" s="65">
        <v>0</v>
      </c>
      <c r="DL38" s="37" t="s">
        <v>196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I38" s="11"/>
      <c r="EJ38" s="30"/>
      <c r="EK38" s="9"/>
    </row>
    <row r="39" spans="3:141" x14ac:dyDescent="0.2">
      <c r="C39" s="240"/>
      <c r="D39" s="377" t="s">
        <v>13</v>
      </c>
      <c r="E39" s="377"/>
      <c r="F39" s="460"/>
      <c r="G39" s="460"/>
      <c r="H39" s="460"/>
      <c r="I39" s="460"/>
      <c r="J39" s="460"/>
      <c r="K39" s="460"/>
      <c r="L39" s="460"/>
      <c r="M39" s="460"/>
      <c r="N39" s="460"/>
      <c r="O39" s="221"/>
      <c r="P39" s="278"/>
      <c r="Y39" s="106"/>
      <c r="Z39" s="106"/>
      <c r="AA39" s="106"/>
      <c r="AB39" s="106"/>
      <c r="AO39" s="143" t="e">
        <f>IF(AND(BF47&gt;BF48,BF48&gt;BF49),"ENDOMORFO-MESOMORFO","")</f>
        <v>#DIV/0!</v>
      </c>
      <c r="AP39" s="143"/>
      <c r="AQ39" s="143"/>
      <c r="AR39" s="143"/>
      <c r="AU39" s="36">
        <v>0.74</v>
      </c>
      <c r="AV39" s="34" t="s">
        <v>127</v>
      </c>
      <c r="AX39" s="39">
        <v>0.88</v>
      </c>
      <c r="AY39" s="37" t="s">
        <v>127</v>
      </c>
      <c r="BC39" s="50"/>
      <c r="BH39" s="39">
        <v>0.99</v>
      </c>
      <c r="BI39" s="37" t="s">
        <v>128</v>
      </c>
      <c r="BK39" s="52"/>
      <c r="BN39" s="50"/>
      <c r="BO39" s="60">
        <v>1</v>
      </c>
      <c r="BP39" s="34" t="s">
        <v>143</v>
      </c>
      <c r="BR39" s="65">
        <v>10</v>
      </c>
      <c r="BS39" s="37" t="s">
        <v>142</v>
      </c>
      <c r="BU39" s="52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M39" s="50"/>
      <c r="CN39" s="59">
        <v>7</v>
      </c>
      <c r="CO39" s="34" t="s">
        <v>143</v>
      </c>
      <c r="CQ39" s="65">
        <v>22</v>
      </c>
      <c r="CR39" s="37" t="s">
        <v>143</v>
      </c>
      <c r="CT39" s="52"/>
      <c r="CU39" s="52"/>
      <c r="CX39" s="50"/>
      <c r="CY39" s="59">
        <v>5</v>
      </c>
      <c r="CZ39" s="34" t="s">
        <v>143</v>
      </c>
      <c r="DB39" s="65">
        <v>12</v>
      </c>
      <c r="DC39" s="37" t="s">
        <v>143</v>
      </c>
      <c r="DE39" s="52"/>
      <c r="DH39" s="59">
        <v>15</v>
      </c>
      <c r="DI39" s="34" t="s">
        <v>144</v>
      </c>
      <c r="DK39" s="65">
        <v>18</v>
      </c>
      <c r="DL39" s="37" t="s">
        <v>144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I39" s="11"/>
      <c r="EJ39" s="30"/>
      <c r="EK39" s="9"/>
    </row>
    <row r="40" spans="3:141" x14ac:dyDescent="0.2">
      <c r="C40" s="240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78"/>
      <c r="Y40" s="172" t="s">
        <v>270</v>
      </c>
      <c r="Z40" s="169"/>
      <c r="AA40" s="171"/>
      <c r="AB40" s="106"/>
      <c r="AO40" s="142" t="e">
        <f>IF(AND(BF47=BF49,BF47&gt;BF48),"ENDOECTOMORFO","")</f>
        <v>#DIV/0!</v>
      </c>
      <c r="AP40" s="142"/>
      <c r="AQ40" s="142"/>
      <c r="AR40" s="142"/>
      <c r="AU40" s="36">
        <v>0.82</v>
      </c>
      <c r="AV40" s="34" t="s">
        <v>128</v>
      </c>
      <c r="AX40" s="39">
        <v>0.96</v>
      </c>
      <c r="AY40" s="37" t="s">
        <v>128</v>
      </c>
      <c r="BC40" s="50"/>
      <c r="BH40" s="39">
        <v>1.04</v>
      </c>
      <c r="BI40" s="37" t="s">
        <v>129</v>
      </c>
      <c r="BK40" s="52"/>
      <c r="BN40" s="50"/>
      <c r="BO40" s="60">
        <v>5</v>
      </c>
      <c r="BP40" s="34" t="s">
        <v>142</v>
      </c>
      <c r="BR40" s="65">
        <v>13</v>
      </c>
      <c r="BS40" s="37" t="s">
        <v>140</v>
      </c>
      <c r="BU40" s="52"/>
      <c r="BY40" s="4"/>
      <c r="BZ40" s="148"/>
      <c r="CA40" s="148"/>
      <c r="CB40" s="68"/>
      <c r="CC40" s="68"/>
      <c r="CD40" s="115"/>
      <c r="CE40" s="115"/>
      <c r="CF40" s="115"/>
      <c r="CG40" s="115"/>
      <c r="CH40" s="115"/>
      <c r="CI40" s="115"/>
      <c r="CJ40" s="115"/>
      <c r="CK40" s="4"/>
      <c r="CM40" s="50"/>
      <c r="CN40" s="59">
        <v>15</v>
      </c>
      <c r="CO40" s="34" t="s">
        <v>142</v>
      </c>
      <c r="CQ40" s="65">
        <v>27</v>
      </c>
      <c r="CR40" s="37" t="s">
        <v>142</v>
      </c>
      <c r="CT40" s="52"/>
      <c r="CU40" s="52"/>
      <c r="CX40" s="50"/>
      <c r="CY40" s="59">
        <v>11</v>
      </c>
      <c r="CZ40" s="34" t="s">
        <v>142</v>
      </c>
      <c r="DB40" s="65">
        <v>17</v>
      </c>
      <c r="DC40" s="37" t="s">
        <v>142</v>
      </c>
      <c r="DE40" s="52"/>
      <c r="DH40" s="59">
        <v>21</v>
      </c>
      <c r="DI40" s="34" t="s">
        <v>143</v>
      </c>
      <c r="DK40" s="65">
        <v>25</v>
      </c>
      <c r="DL40" s="37" t="s">
        <v>143</v>
      </c>
      <c r="EI40" s="426" t="s">
        <v>120</v>
      </c>
      <c r="EJ40" s="483"/>
      <c r="EK40" s="28" t="str">
        <f>DV26</f>
        <v>-</v>
      </c>
    </row>
    <row r="41" spans="3:141" x14ac:dyDescent="0.2">
      <c r="C41" s="240"/>
      <c r="D41" s="221" t="s">
        <v>246</v>
      </c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78"/>
      <c r="Y41" s="2" t="e">
        <f>IF(EJ4=0,SUM(1.1665-((LOG10(Y38))*0.07063)),SUM(1.17136-((LOG10(Y35))*0.06706)))</f>
        <v>#NUM!</v>
      </c>
      <c r="Z41" s="106"/>
      <c r="AA41" s="165"/>
      <c r="AN41" s="109" t="s">
        <v>190</v>
      </c>
      <c r="AO41" s="142" t="e">
        <f>IF(AND(BF47&gt;BF48,BF48=BF49),"ENDOMORFO","")</f>
        <v>#DIV/0!</v>
      </c>
      <c r="AP41" s="142"/>
      <c r="AQ41" s="142"/>
      <c r="AR41" s="142"/>
      <c r="AU41" s="36">
        <v>0.89</v>
      </c>
      <c r="AV41" s="34" t="s">
        <v>129</v>
      </c>
      <c r="AX41" s="41">
        <v>1.01</v>
      </c>
      <c r="AY41" s="37" t="s">
        <v>129</v>
      </c>
      <c r="BC41" s="50"/>
      <c r="BK41" s="52"/>
      <c r="BN41" s="50"/>
      <c r="BO41" s="60">
        <v>12</v>
      </c>
      <c r="BP41" s="34" t="s">
        <v>140</v>
      </c>
      <c r="BR41" s="64">
        <v>21</v>
      </c>
      <c r="BS41" s="38" t="s">
        <v>141</v>
      </c>
      <c r="BU41" s="52"/>
      <c r="BY41" s="4"/>
      <c r="BZ41" s="148"/>
      <c r="CA41" s="148"/>
      <c r="CB41" s="68"/>
      <c r="CC41" s="4"/>
      <c r="CD41" s="115"/>
      <c r="CE41" s="115"/>
      <c r="CF41" s="115"/>
      <c r="CG41" s="115"/>
      <c r="CH41" s="115"/>
      <c r="CI41" s="115"/>
      <c r="CJ41" s="115"/>
      <c r="CK41" s="4"/>
      <c r="CM41" s="50"/>
      <c r="CN41" s="59">
        <v>20</v>
      </c>
      <c r="CO41" s="34" t="s">
        <v>140</v>
      </c>
      <c r="CQ41" s="65">
        <v>31</v>
      </c>
      <c r="CR41" s="37" t="s">
        <v>140</v>
      </c>
      <c r="CT41" s="52"/>
      <c r="CU41" s="52"/>
      <c r="CX41" s="50"/>
      <c r="CY41" s="59">
        <v>15</v>
      </c>
      <c r="CZ41" s="34" t="s">
        <v>140</v>
      </c>
      <c r="DB41" s="65">
        <v>22</v>
      </c>
      <c r="DC41" s="37" t="s">
        <v>140</v>
      </c>
      <c r="DE41" s="52"/>
      <c r="DH41" s="59">
        <v>28</v>
      </c>
      <c r="DI41" s="34" t="s">
        <v>140</v>
      </c>
      <c r="DK41" s="65">
        <v>34</v>
      </c>
      <c r="DL41" s="37" t="s">
        <v>140</v>
      </c>
    </row>
    <row r="42" spans="3:141" x14ac:dyDescent="0.2">
      <c r="C42" s="240"/>
      <c r="D42" s="377" t="s">
        <v>255</v>
      </c>
      <c r="E42" s="377"/>
      <c r="F42" s="460"/>
      <c r="G42" s="460"/>
      <c r="H42" s="460"/>
      <c r="I42" s="460"/>
      <c r="J42" s="460"/>
      <c r="K42" s="460"/>
      <c r="L42" s="460"/>
      <c r="M42" s="460"/>
      <c r="N42" s="460"/>
      <c r="O42" s="221"/>
      <c r="P42" s="278"/>
      <c r="Y42" s="173" t="s">
        <v>269</v>
      </c>
      <c r="Z42" s="170"/>
      <c r="AA42" s="165"/>
      <c r="AO42" s="143" t="e">
        <f>IF(AND(BF47=BF48,BF48=BF49),"CENTRAL","")</f>
        <v>#DIV/0!</v>
      </c>
      <c r="AP42" s="143"/>
      <c r="AQ42" s="143"/>
      <c r="AR42" s="143"/>
      <c r="AU42" s="35"/>
      <c r="AV42" s="35"/>
      <c r="AX42" s="38"/>
      <c r="AY42" s="38"/>
      <c r="BC42" s="55"/>
      <c r="BD42" s="56"/>
      <c r="BE42" s="56"/>
      <c r="BF42" s="56"/>
      <c r="BG42" s="56"/>
      <c r="BH42" s="56"/>
      <c r="BI42" s="56"/>
      <c r="BJ42" s="56"/>
      <c r="BK42" s="57"/>
      <c r="BN42" s="55"/>
      <c r="BO42" s="61">
        <v>17</v>
      </c>
      <c r="BP42" s="35" t="s">
        <v>141</v>
      </c>
      <c r="BQ42" s="56"/>
      <c r="BR42" s="62"/>
      <c r="BS42" s="62"/>
      <c r="BT42" s="56"/>
      <c r="BU42" s="57"/>
      <c r="BY42" s="4"/>
      <c r="BZ42" s="148"/>
      <c r="CA42" s="148"/>
      <c r="CB42" s="68"/>
      <c r="CC42" s="4"/>
      <c r="CD42" s="115"/>
      <c r="CE42" s="115"/>
      <c r="CF42" s="115"/>
      <c r="CG42" s="115"/>
      <c r="CH42" s="115"/>
      <c r="CI42" s="115"/>
      <c r="CJ42" s="115"/>
      <c r="CK42" s="4"/>
      <c r="CM42" s="50"/>
      <c r="CN42" s="60">
        <v>25</v>
      </c>
      <c r="CO42" s="35" t="s">
        <v>141</v>
      </c>
      <c r="CQ42" s="64">
        <v>36</v>
      </c>
      <c r="CR42" s="38" t="s">
        <v>141</v>
      </c>
      <c r="CT42" s="52"/>
      <c r="CU42" s="52"/>
      <c r="CX42" s="50"/>
      <c r="CY42" s="60">
        <v>24</v>
      </c>
      <c r="CZ42" s="35" t="s">
        <v>141</v>
      </c>
      <c r="DB42" s="64">
        <v>30</v>
      </c>
      <c r="DC42" s="38" t="s">
        <v>141</v>
      </c>
      <c r="DE42" s="52"/>
      <c r="DH42" s="60">
        <v>38</v>
      </c>
      <c r="DI42" s="35" t="s">
        <v>141</v>
      </c>
      <c r="DK42" s="64">
        <v>43</v>
      </c>
      <c r="DL42" s="38" t="s">
        <v>141</v>
      </c>
    </row>
    <row r="43" spans="3:141" x14ac:dyDescent="0.2">
      <c r="C43" s="240"/>
      <c r="D43" s="377" t="s">
        <v>14</v>
      </c>
      <c r="E43" s="377"/>
      <c r="F43" s="460"/>
      <c r="G43" s="460"/>
      <c r="H43" s="460"/>
      <c r="I43" s="460"/>
      <c r="J43" s="460"/>
      <c r="K43" s="460"/>
      <c r="L43" s="460"/>
      <c r="M43" s="460"/>
      <c r="N43" s="460"/>
      <c r="O43" s="221"/>
      <c r="P43" s="278"/>
      <c r="Y43" s="174" t="e">
        <f>((4.95/Y41)-4.5)*100</f>
        <v>#NUM!</v>
      </c>
      <c r="Z43" s="1"/>
      <c r="AA43" s="168"/>
      <c r="AU43" s="124" t="s">
        <v>66</v>
      </c>
      <c r="AV43" s="124"/>
      <c r="AX43" s="125" t="s">
        <v>131</v>
      </c>
      <c r="AY43" s="125"/>
      <c r="BR43" s="125" t="s">
        <v>66</v>
      </c>
      <c r="BS43" s="125"/>
      <c r="BY43" s="4"/>
      <c r="BZ43" s="115"/>
      <c r="CA43" s="115"/>
      <c r="CB43" s="68"/>
      <c r="CC43" s="4"/>
      <c r="CD43" s="115"/>
      <c r="CE43" s="115"/>
      <c r="CF43" s="115"/>
      <c r="CG43" s="115"/>
      <c r="CH43" s="115"/>
      <c r="CI43" s="115"/>
      <c r="CJ43" s="115"/>
      <c r="CK43" s="4"/>
      <c r="CM43" s="50"/>
      <c r="CN43" s="124" t="s">
        <v>131</v>
      </c>
      <c r="CO43" s="124"/>
      <c r="CQ43" s="125" t="s">
        <v>130</v>
      </c>
      <c r="CR43" s="125"/>
      <c r="CT43" s="52"/>
      <c r="CU43" s="52"/>
      <c r="CX43" s="50"/>
      <c r="CY43" s="124" t="s">
        <v>131</v>
      </c>
      <c r="CZ43" s="124"/>
      <c r="DB43" s="125" t="s">
        <v>130</v>
      </c>
      <c r="DC43" s="125"/>
      <c r="DE43" s="52"/>
      <c r="DH43" s="124" t="s">
        <v>66</v>
      </c>
      <c r="DI43" s="124"/>
      <c r="DK43" s="125" t="s">
        <v>66</v>
      </c>
      <c r="DL43" s="125"/>
      <c r="EI43" s="426"/>
      <c r="EJ43" s="483"/>
      <c r="EK43" s="9"/>
    </row>
    <row r="44" spans="3:141" x14ac:dyDescent="0.2">
      <c r="C44" s="240"/>
      <c r="D44" s="377" t="s">
        <v>13</v>
      </c>
      <c r="E44" s="377"/>
      <c r="F44" s="460"/>
      <c r="G44" s="460"/>
      <c r="H44" s="460"/>
      <c r="I44" s="460"/>
      <c r="J44" s="460"/>
      <c r="K44" s="460"/>
      <c r="L44" s="460"/>
      <c r="M44" s="460"/>
      <c r="N44" s="460"/>
      <c r="O44" s="221"/>
      <c r="P44" s="278"/>
      <c r="AU44" s="36">
        <v>0.01</v>
      </c>
      <c r="AV44" s="34" t="s">
        <v>126</v>
      </c>
      <c r="AX44" s="39">
        <v>0.01</v>
      </c>
      <c r="AY44" s="37" t="s">
        <v>126</v>
      </c>
      <c r="BR44" s="64">
        <v>1.01</v>
      </c>
      <c r="BS44" s="37" t="s">
        <v>144</v>
      </c>
      <c r="BY44" s="4"/>
      <c r="BZ44" s="115"/>
      <c r="CA44" s="115"/>
      <c r="CB44" s="68"/>
      <c r="CC44" s="4"/>
      <c r="CD44" s="115"/>
      <c r="CE44" s="115"/>
      <c r="CF44" s="115"/>
      <c r="CG44" s="115"/>
      <c r="CH44" s="115"/>
      <c r="CI44" s="115"/>
      <c r="CJ44" s="115"/>
      <c r="CK44" s="4"/>
      <c r="CM44" s="50"/>
      <c r="CN44" s="59">
        <v>0</v>
      </c>
      <c r="CO44" s="34" t="s">
        <v>144</v>
      </c>
      <c r="CQ44" s="65">
        <v>0</v>
      </c>
      <c r="CR44" s="37" t="s">
        <v>144</v>
      </c>
      <c r="CT44" s="52"/>
      <c r="CU44" s="52"/>
      <c r="CX44" s="50"/>
      <c r="CY44" s="59">
        <v>0</v>
      </c>
      <c r="CZ44" s="34" t="s">
        <v>144</v>
      </c>
      <c r="DB44" s="65">
        <v>0</v>
      </c>
      <c r="DC44" s="37" t="s">
        <v>144</v>
      </c>
      <c r="DE44" s="52"/>
      <c r="DH44" s="59">
        <v>0</v>
      </c>
      <c r="DI44" s="34" t="s">
        <v>196</v>
      </c>
      <c r="DK44" s="65">
        <v>0</v>
      </c>
      <c r="DL44" s="37" t="s">
        <v>196</v>
      </c>
    </row>
    <row r="45" spans="3:141" x14ac:dyDescent="0.2">
      <c r="C45" s="241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  <c r="AU45" s="36">
        <v>0.76</v>
      </c>
      <c r="AV45" s="34" t="s">
        <v>127</v>
      </c>
      <c r="AX45" s="41">
        <v>0.9</v>
      </c>
      <c r="AY45" s="37" t="s">
        <v>127</v>
      </c>
      <c r="BE45" t="s">
        <v>158</v>
      </c>
      <c r="BH45" t="e">
        <f>('Avaliação Física 1'!DV15+'Avaliação Física 1'!DV16+'Avaliação Física 1'!DV19)*170.18/BH61</f>
        <v>#DIV/0!</v>
      </c>
      <c r="BR45" s="64">
        <v>5</v>
      </c>
      <c r="BS45" s="37" t="s">
        <v>143</v>
      </c>
      <c r="CM45" s="50"/>
      <c r="CN45" s="59">
        <v>3</v>
      </c>
      <c r="CO45" s="34" t="s">
        <v>143</v>
      </c>
      <c r="CQ45" s="65">
        <v>17</v>
      </c>
      <c r="CR45" s="37" t="s">
        <v>143</v>
      </c>
      <c r="CT45" s="52"/>
      <c r="CU45" s="52"/>
      <c r="CX45" s="50"/>
      <c r="CY45" s="59">
        <v>2</v>
      </c>
      <c r="CZ45" s="34" t="s">
        <v>143</v>
      </c>
      <c r="DB45" s="65">
        <v>10</v>
      </c>
      <c r="DC45" s="37" t="s">
        <v>143</v>
      </c>
      <c r="DE45" s="52"/>
      <c r="DH45" s="59">
        <v>13</v>
      </c>
      <c r="DI45" s="34" t="s">
        <v>144</v>
      </c>
      <c r="DK45" s="65">
        <v>16</v>
      </c>
      <c r="DL45" s="37" t="s">
        <v>144</v>
      </c>
    </row>
    <row r="46" spans="3:141" x14ac:dyDescent="0.2"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U46" s="36">
        <v>0.84</v>
      </c>
      <c r="AV46" s="34" t="s">
        <v>128</v>
      </c>
      <c r="AX46" s="39">
        <v>0.97</v>
      </c>
      <c r="AY46" s="37" t="s">
        <v>128</v>
      </c>
      <c r="BD46" s="79"/>
      <c r="BE46" s="79" t="s">
        <v>187</v>
      </c>
      <c r="BF46" s="79"/>
      <c r="BR46" s="64">
        <v>8</v>
      </c>
      <c r="BS46" s="37" t="s">
        <v>142</v>
      </c>
      <c r="CM46" s="50"/>
      <c r="CN46" s="59">
        <v>5</v>
      </c>
      <c r="CO46" s="34" t="s">
        <v>142</v>
      </c>
      <c r="CQ46" s="65">
        <v>22</v>
      </c>
      <c r="CR46" s="37" t="s">
        <v>142</v>
      </c>
      <c r="CT46" s="52"/>
      <c r="CU46" s="52"/>
      <c r="CX46" s="50"/>
      <c r="CY46" s="59">
        <v>7</v>
      </c>
      <c r="CZ46" s="34" t="s">
        <v>142</v>
      </c>
      <c r="DB46" s="65">
        <v>13</v>
      </c>
      <c r="DC46" s="37" t="s">
        <v>142</v>
      </c>
      <c r="DE46" s="52"/>
      <c r="DH46" s="59">
        <v>18</v>
      </c>
      <c r="DI46" s="34" t="s">
        <v>143</v>
      </c>
      <c r="DK46" s="65">
        <v>23</v>
      </c>
      <c r="DL46" s="37" t="s">
        <v>143</v>
      </c>
    </row>
    <row r="47" spans="3:141" x14ac:dyDescent="0.2">
      <c r="C47" s="362" t="s">
        <v>228</v>
      </c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T47">
        <f>J72*100</f>
        <v>0</v>
      </c>
      <c r="Y47" s="273" t="s">
        <v>386</v>
      </c>
      <c r="Z47" s="27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U47" s="36">
        <v>0.91</v>
      </c>
      <c r="AV47" s="34" t="s">
        <v>129</v>
      </c>
      <c r="AX47" s="39">
        <v>1.03</v>
      </c>
      <c r="AY47" s="37" t="s">
        <v>129</v>
      </c>
      <c r="BD47" s="121" t="s">
        <v>157</v>
      </c>
      <c r="BE47" s="121"/>
      <c r="BF47" s="80" t="e">
        <f>-0.7182+0.1451*(BH45)-0.00068*(BH45)+0.0000014*(BH45)</f>
        <v>#DIV/0!</v>
      </c>
      <c r="BR47" s="64">
        <v>11</v>
      </c>
      <c r="BS47" s="37" t="s">
        <v>140</v>
      </c>
      <c r="CM47" s="50"/>
      <c r="CN47" s="59">
        <v>12</v>
      </c>
      <c r="CO47" s="34" t="s">
        <v>140</v>
      </c>
      <c r="CQ47" s="65">
        <v>26</v>
      </c>
      <c r="CR47" s="37" t="s">
        <v>140</v>
      </c>
      <c r="CT47" s="52"/>
      <c r="CU47" s="52"/>
      <c r="CX47" s="50"/>
      <c r="CY47" s="59">
        <v>11</v>
      </c>
      <c r="CZ47" s="34" t="s">
        <v>140</v>
      </c>
      <c r="DB47" s="65">
        <v>17</v>
      </c>
      <c r="DC47" s="37" t="s">
        <v>140</v>
      </c>
      <c r="DE47" s="52"/>
      <c r="DH47" s="59">
        <v>24</v>
      </c>
      <c r="DI47" s="34" t="s">
        <v>140</v>
      </c>
      <c r="DK47" s="65">
        <v>31</v>
      </c>
      <c r="DL47" s="37" t="s">
        <v>140</v>
      </c>
    </row>
    <row r="48" spans="3:141" x14ac:dyDescent="0.2">
      <c r="C48" s="284"/>
      <c r="D48" s="285"/>
      <c r="E48" s="285"/>
      <c r="F48" s="286"/>
      <c r="G48" s="276"/>
      <c r="H48" s="276"/>
      <c r="I48" s="276"/>
      <c r="J48" s="276"/>
      <c r="K48" s="276"/>
      <c r="L48" s="287"/>
      <c r="M48" s="288"/>
      <c r="N48" s="288"/>
      <c r="O48" s="289"/>
      <c r="P48" s="290"/>
      <c r="Y48" s="267" t="e">
        <f>IF(L9="Feminino",1.0346585-0.00063129*(J78+N78+J79+N79)+0.00000187*(J78+N78+J79+N79)^2-0.000311*(N9)-0.0004889*(F72)+0.00051345*(T47),1.10726863-0.00081201*(F77+F78+J79+N79)+0.00000212*(F77+F78+J79+N79)^2*0.00041761*(N9))</f>
        <v>#VALUE!</v>
      </c>
      <c r="Z48" s="268"/>
      <c r="AB48" s="5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X48" s="38"/>
      <c r="AY48" s="38"/>
      <c r="BD48" s="121" t="s">
        <v>156</v>
      </c>
      <c r="BE48" s="121"/>
      <c r="BF48" s="81">
        <f>0.858*(AJ30)+0.601*(AJ32)+0.188*(BK48)+0.161*(BK49)-0.131*(BH61)+4.5</f>
        <v>4.5</v>
      </c>
      <c r="BJ48" s="108" t="s">
        <v>159</v>
      </c>
      <c r="BK48">
        <f>BK50-(BK52/10)</f>
        <v>0</v>
      </c>
      <c r="BR48" s="64">
        <v>18</v>
      </c>
      <c r="BS48" s="38" t="s">
        <v>141</v>
      </c>
      <c r="CM48" s="50"/>
      <c r="CN48" s="60">
        <v>19</v>
      </c>
      <c r="CO48" s="35" t="s">
        <v>141</v>
      </c>
      <c r="CQ48" s="64">
        <v>36</v>
      </c>
      <c r="CR48" s="38" t="s">
        <v>141</v>
      </c>
      <c r="CT48" s="52"/>
      <c r="CU48" s="52"/>
      <c r="CX48" s="50"/>
      <c r="CY48" s="60">
        <v>21</v>
      </c>
      <c r="CZ48" s="35" t="s">
        <v>141</v>
      </c>
      <c r="DB48" s="64">
        <v>22</v>
      </c>
      <c r="DC48" s="38" t="s">
        <v>141</v>
      </c>
      <c r="DE48" s="52"/>
      <c r="DH48" s="60">
        <v>35</v>
      </c>
      <c r="DI48" s="35" t="s">
        <v>141</v>
      </c>
      <c r="DK48" s="64">
        <v>41</v>
      </c>
      <c r="DL48" s="38" t="s">
        <v>141</v>
      </c>
    </row>
    <row r="49" spans="3:116" ht="15" customHeight="1" x14ac:dyDescent="0.2">
      <c r="C49" s="291"/>
      <c r="D49" s="436" t="s">
        <v>191</v>
      </c>
      <c r="E49" s="436"/>
      <c r="F49" s="436"/>
      <c r="G49" s="436"/>
      <c r="H49" s="436"/>
      <c r="I49" s="436"/>
      <c r="J49" s="436"/>
      <c r="K49" s="436"/>
      <c r="L49" s="255"/>
      <c r="M49" s="259"/>
      <c r="N49" s="259"/>
      <c r="O49" s="256"/>
      <c r="P49" s="292"/>
      <c r="Y49" s="267"/>
      <c r="Z49" s="268"/>
      <c r="AB49" s="5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X49" s="125" t="s">
        <v>66</v>
      </c>
      <c r="AY49" s="125"/>
      <c r="BD49" s="121" t="s">
        <v>155</v>
      </c>
      <c r="BE49" s="121"/>
      <c r="BF49" s="81" t="e">
        <f>IF(BK56&gt;40.75,BK66,BK67)</f>
        <v>#DIV/0!</v>
      </c>
      <c r="BJ49" s="108" t="s">
        <v>160</v>
      </c>
      <c r="BK49">
        <f>BK51-(BK53/10)</f>
        <v>0</v>
      </c>
      <c r="CM49" s="50"/>
      <c r="CQ49" s="125" t="s">
        <v>131</v>
      </c>
      <c r="CR49" s="125"/>
      <c r="CT49" s="52"/>
      <c r="CU49" s="52"/>
      <c r="CX49" s="50"/>
      <c r="DB49" s="125" t="s">
        <v>131</v>
      </c>
      <c r="DC49" s="125"/>
      <c r="DE49" s="52"/>
    </row>
    <row r="50" spans="3:116" ht="15" customHeight="1" x14ac:dyDescent="0.2">
      <c r="C50" s="291"/>
      <c r="D50" s="436"/>
      <c r="E50" s="436"/>
      <c r="F50" s="436"/>
      <c r="G50" s="436"/>
      <c r="H50" s="436"/>
      <c r="I50" s="436"/>
      <c r="J50" s="436"/>
      <c r="K50" s="436"/>
      <c r="L50" s="255"/>
      <c r="M50" s="259"/>
      <c r="N50" s="259"/>
      <c r="O50" s="256"/>
      <c r="P50" s="292"/>
      <c r="Y50" s="272" t="s">
        <v>371</v>
      </c>
      <c r="Z50" s="275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X50" s="41">
        <v>0.01</v>
      </c>
      <c r="AY50" s="37" t="s">
        <v>126</v>
      </c>
      <c r="BD50" s="79"/>
      <c r="BE50" s="79"/>
      <c r="BF50" s="79"/>
      <c r="BJ50" s="108" t="s">
        <v>161</v>
      </c>
      <c r="BK50">
        <f>'Avaliação Física 1'!AJ16</f>
        <v>0</v>
      </c>
      <c r="CM50" s="50"/>
      <c r="CN50" s="124" t="s">
        <v>66</v>
      </c>
      <c r="CO50" s="124"/>
      <c r="CQ50" s="65">
        <v>0</v>
      </c>
      <c r="CR50" s="37" t="s">
        <v>144</v>
      </c>
      <c r="CT50" s="52"/>
      <c r="CU50" s="52"/>
      <c r="CX50" s="50"/>
      <c r="CY50" s="124" t="s">
        <v>66</v>
      </c>
      <c r="CZ50" s="124"/>
      <c r="DB50" s="65">
        <v>0</v>
      </c>
      <c r="DC50" s="37" t="s">
        <v>144</v>
      </c>
      <c r="DE50" s="52"/>
      <c r="DH50" s="126"/>
      <c r="DI50" s="126"/>
      <c r="DK50" s="126"/>
      <c r="DL50" s="126"/>
    </row>
    <row r="51" spans="3:116" ht="4.9000000000000004" customHeight="1" x14ac:dyDescent="0.2">
      <c r="C51" s="291"/>
      <c r="D51" s="293"/>
      <c r="E51" s="293"/>
      <c r="F51" s="294"/>
      <c r="G51" s="221"/>
      <c r="H51" s="221"/>
      <c r="I51" s="221"/>
      <c r="J51" s="221"/>
      <c r="K51" s="221"/>
      <c r="L51" s="255"/>
      <c r="M51" s="259"/>
      <c r="N51" s="259"/>
      <c r="O51" s="256"/>
      <c r="P51" s="292"/>
      <c r="Y51" s="267"/>
      <c r="Z51" s="268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X51" s="39">
        <v>0.91</v>
      </c>
      <c r="AY51" s="37" t="s">
        <v>127</v>
      </c>
      <c r="BJ51" s="108" t="s">
        <v>162</v>
      </c>
      <c r="BK51">
        <f>AJ18</f>
        <v>0</v>
      </c>
      <c r="CM51" s="50"/>
      <c r="CN51" s="60">
        <v>0</v>
      </c>
      <c r="CO51" s="34" t="s">
        <v>144</v>
      </c>
      <c r="CQ51" s="65">
        <v>13</v>
      </c>
      <c r="CR51" s="37" t="s">
        <v>143</v>
      </c>
      <c r="CT51" s="52"/>
      <c r="CU51" s="52"/>
      <c r="CX51" s="50"/>
      <c r="CY51" s="60">
        <v>0</v>
      </c>
      <c r="CZ51" s="34" t="s">
        <v>144</v>
      </c>
      <c r="DB51" s="65">
        <v>7</v>
      </c>
      <c r="DC51" s="37" t="s">
        <v>143</v>
      </c>
      <c r="DE51" s="52"/>
      <c r="DH51" s="86"/>
      <c r="DK51" s="86"/>
    </row>
    <row r="52" spans="3:116" x14ac:dyDescent="0.2">
      <c r="C52" s="291"/>
      <c r="D52" s="437" t="s">
        <v>360</v>
      </c>
      <c r="E52" s="437"/>
      <c r="F52" s="437"/>
      <c r="G52" s="437"/>
      <c r="H52" s="437"/>
      <c r="I52" s="437"/>
      <c r="J52" s="437"/>
      <c r="K52" s="221"/>
      <c r="L52" s="255"/>
      <c r="M52" s="259"/>
      <c r="N52" s="259"/>
      <c r="O52" s="256"/>
      <c r="P52" s="292"/>
      <c r="Y52" s="269" t="e">
        <f>((4.95/Y48)-4.5)*100</f>
        <v>#VALUE!</v>
      </c>
      <c r="Z52" s="268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X52" s="39">
        <v>0.99</v>
      </c>
      <c r="AY52" s="37" t="s">
        <v>128</v>
      </c>
      <c r="BJ52" s="108" t="s">
        <v>163</v>
      </c>
      <c r="BK52">
        <f>'Avaliação Física 1'!DV16</f>
        <v>0</v>
      </c>
      <c r="CM52" s="50"/>
      <c r="CN52" s="60">
        <v>2</v>
      </c>
      <c r="CO52" s="34" t="s">
        <v>143</v>
      </c>
      <c r="CQ52" s="65">
        <v>18</v>
      </c>
      <c r="CR52" s="37" t="s">
        <v>142</v>
      </c>
      <c r="CT52" s="52"/>
      <c r="CU52" s="52"/>
      <c r="CX52" s="50"/>
      <c r="CY52" s="60">
        <v>1</v>
      </c>
      <c r="CZ52" s="34" t="s">
        <v>143</v>
      </c>
      <c r="DB52" s="65">
        <v>10</v>
      </c>
      <c r="DC52" s="37" t="s">
        <v>142</v>
      </c>
      <c r="DE52" s="52"/>
      <c r="DH52" s="86"/>
      <c r="DK52" s="86"/>
    </row>
    <row r="53" spans="3:116" ht="4.1500000000000004" customHeight="1" x14ac:dyDescent="0.2">
      <c r="C53" s="291"/>
      <c r="D53" s="293"/>
      <c r="E53" s="293"/>
      <c r="F53" s="293"/>
      <c r="G53" s="293"/>
      <c r="H53" s="293"/>
      <c r="I53" s="293"/>
      <c r="J53" s="293"/>
      <c r="K53" s="221"/>
      <c r="L53" s="255"/>
      <c r="M53" s="259"/>
      <c r="N53" s="259"/>
      <c r="O53" s="256"/>
      <c r="P53" s="292"/>
      <c r="Y53" s="270"/>
      <c r="Z53" s="271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X53" s="39">
        <v>1.04</v>
      </c>
      <c r="AY53" s="37" t="s">
        <v>129</v>
      </c>
      <c r="BJ53" s="108" t="s">
        <v>164</v>
      </c>
      <c r="BK53">
        <f>'Avaliação Física 1'!DV21</f>
        <v>0</v>
      </c>
      <c r="CM53" s="50"/>
      <c r="CN53" s="60">
        <v>4</v>
      </c>
      <c r="CO53" s="34" t="s">
        <v>142</v>
      </c>
      <c r="CQ53" s="65">
        <v>22</v>
      </c>
      <c r="CR53" s="37" t="s">
        <v>140</v>
      </c>
      <c r="CT53" s="52"/>
      <c r="CU53" s="52"/>
      <c r="CX53" s="50"/>
      <c r="CY53" s="60">
        <v>5</v>
      </c>
      <c r="CZ53" s="34" t="s">
        <v>142</v>
      </c>
      <c r="DB53" s="65">
        <v>13</v>
      </c>
      <c r="DC53" s="37" t="s">
        <v>140</v>
      </c>
      <c r="DE53" s="52"/>
      <c r="DH53" s="86"/>
      <c r="DK53" s="86"/>
    </row>
    <row r="54" spans="3:116" ht="14.25" customHeight="1" x14ac:dyDescent="0.2">
      <c r="C54" s="291"/>
      <c r="D54" s="437" t="s">
        <v>9</v>
      </c>
      <c r="E54" s="437"/>
      <c r="F54" s="437"/>
      <c r="G54" s="437"/>
      <c r="H54" s="437"/>
      <c r="I54" s="437"/>
      <c r="J54" s="437"/>
      <c r="K54" s="221"/>
      <c r="L54" s="255"/>
      <c r="M54" s="259"/>
      <c r="N54" s="259"/>
      <c r="O54" s="256"/>
      <c r="P54" s="292"/>
      <c r="T54" s="21" t="e">
        <f>(X68+X78+S78)/3</f>
        <v>#VALUE!</v>
      </c>
      <c r="X54" s="102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BB54" s="121" t="s">
        <v>185</v>
      </c>
      <c r="BC54" s="121"/>
      <c r="BD54" s="121"/>
      <c r="CM54" s="50"/>
      <c r="CN54" s="60">
        <v>12</v>
      </c>
      <c r="CO54" s="34" t="s">
        <v>140</v>
      </c>
      <c r="CQ54" s="64">
        <v>31</v>
      </c>
      <c r="CR54" s="38" t="s">
        <v>141</v>
      </c>
      <c r="CT54" s="52"/>
      <c r="CU54" s="52"/>
      <c r="CX54" s="50"/>
      <c r="CY54" s="60">
        <v>12</v>
      </c>
      <c r="CZ54" s="34" t="s">
        <v>140</v>
      </c>
      <c r="DB54" s="64">
        <v>21</v>
      </c>
      <c r="DC54" s="38" t="s">
        <v>141</v>
      </c>
      <c r="DE54" s="52"/>
      <c r="DH54" s="86"/>
      <c r="DK54" s="86"/>
    </row>
    <row r="55" spans="3:116" ht="4.9000000000000004" customHeight="1" x14ac:dyDescent="0.2">
      <c r="C55" s="291"/>
      <c r="D55" s="293"/>
      <c r="E55" s="293"/>
      <c r="F55" s="294"/>
      <c r="G55" s="221"/>
      <c r="H55" s="221"/>
      <c r="I55" s="221"/>
      <c r="J55" s="221"/>
      <c r="K55" s="221"/>
      <c r="L55" s="255"/>
      <c r="M55" s="259"/>
      <c r="N55" s="259"/>
      <c r="O55" s="256"/>
      <c r="P55" s="29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BB55" s="79"/>
      <c r="BC55" s="79"/>
      <c r="BD55" s="79"/>
      <c r="BO55" s="126" t="s">
        <v>155</v>
      </c>
      <c r="BP55" s="126"/>
      <c r="BQ55" t="e">
        <f>IF(BK56&gt;0.01,HLOOKUP(BK56,BN66:BO68,3,TRUE))</f>
        <v>#DIV/0!</v>
      </c>
      <c r="CM55" s="55"/>
      <c r="CN55" s="61">
        <v>16</v>
      </c>
      <c r="CO55" s="35" t="s">
        <v>141</v>
      </c>
      <c r="CP55" s="56"/>
      <c r="CQ55" s="62"/>
      <c r="CR55" s="62"/>
      <c r="CS55" s="56"/>
      <c r="CT55" s="57"/>
      <c r="CU55" s="57"/>
      <c r="CX55" s="55"/>
      <c r="CY55" s="61">
        <v>17</v>
      </c>
      <c r="CZ55" s="35" t="s">
        <v>141</v>
      </c>
      <c r="DA55" s="56"/>
      <c r="DB55" s="62"/>
      <c r="DC55" s="62"/>
      <c r="DD55" s="56"/>
      <c r="DE55" s="57"/>
      <c r="DH55" s="86"/>
      <c r="DK55" s="86"/>
    </row>
    <row r="56" spans="3:116" ht="15" customHeight="1" x14ac:dyDescent="0.2">
      <c r="C56" s="291"/>
      <c r="D56" s="437" t="s">
        <v>10</v>
      </c>
      <c r="E56" s="437"/>
      <c r="F56" s="437"/>
      <c r="G56" s="437"/>
      <c r="H56" s="437"/>
      <c r="I56" s="437"/>
      <c r="J56" s="437"/>
      <c r="K56" s="221"/>
      <c r="L56" s="255"/>
      <c r="M56" s="259"/>
      <c r="N56" s="259"/>
      <c r="O56" s="256"/>
      <c r="P56" s="292"/>
      <c r="BB56" s="121" t="s">
        <v>186</v>
      </c>
      <c r="BC56" s="121"/>
      <c r="BD56" s="121"/>
      <c r="BI56" s="126" t="s">
        <v>165</v>
      </c>
      <c r="BJ56" s="126"/>
      <c r="BK56" t="e">
        <f>BH61/BK58</f>
        <v>#DIV/0!</v>
      </c>
      <c r="CQ56" s="125" t="s">
        <v>66</v>
      </c>
      <c r="CR56" s="125"/>
      <c r="DB56" s="125" t="s">
        <v>66</v>
      </c>
      <c r="DC56" s="125"/>
    </row>
    <row r="57" spans="3:116" ht="4.9000000000000004" customHeight="1" x14ac:dyDescent="0.2">
      <c r="C57" s="291"/>
      <c r="D57" s="293"/>
      <c r="E57" s="293"/>
      <c r="F57" s="294"/>
      <c r="G57" s="221"/>
      <c r="H57" s="221"/>
      <c r="I57" s="221"/>
      <c r="J57" s="221"/>
      <c r="K57" s="221"/>
      <c r="L57" s="255"/>
      <c r="M57" s="259"/>
      <c r="N57" s="259"/>
      <c r="O57" s="256"/>
      <c r="P57" s="292"/>
      <c r="BB57" s="79"/>
      <c r="BC57" s="79"/>
      <c r="BD57" s="79"/>
      <c r="CQ57" s="64">
        <v>0</v>
      </c>
      <c r="CR57" s="37" t="s">
        <v>144</v>
      </c>
      <c r="DB57" s="64">
        <v>0</v>
      </c>
      <c r="DC57" s="37" t="s">
        <v>144</v>
      </c>
    </row>
    <row r="58" spans="3:116" x14ac:dyDescent="0.2">
      <c r="C58" s="291"/>
      <c r="D58" s="436" t="s">
        <v>192</v>
      </c>
      <c r="E58" s="436"/>
      <c r="F58" s="436"/>
      <c r="G58" s="436"/>
      <c r="H58" s="436"/>
      <c r="I58" s="436"/>
      <c r="J58" s="436"/>
      <c r="K58" s="221"/>
      <c r="L58" s="255"/>
      <c r="M58" s="259"/>
      <c r="N58" s="259"/>
      <c r="O58" s="256"/>
      <c r="P58" s="292"/>
      <c r="V58" s="177" t="e">
        <f ca="1">(IF(E75="Faulkner",AB88,"-"),IF(E75="Jackson e Pollock 7 dobras",AB89,"-"),IF(E75="Jackson e Pollock 3 dobras",AB90,"-"),IF(E75="Guedes 3 dobras",AB91,"-"))</f>
        <v>#VALUE!</v>
      </c>
      <c r="BB58" s="79"/>
      <c r="BC58" s="79"/>
      <c r="BD58" s="79"/>
      <c r="BI58" t="s">
        <v>166</v>
      </c>
      <c r="BK58">
        <f>AP9^(1/3)</f>
        <v>0</v>
      </c>
      <c r="CQ58" s="64">
        <v>7</v>
      </c>
      <c r="CR58" s="37" t="s">
        <v>143</v>
      </c>
      <c r="DB58" s="64">
        <v>5</v>
      </c>
      <c r="DC58" s="37" t="s">
        <v>143</v>
      </c>
    </row>
    <row r="59" spans="3:116" ht="15" customHeight="1" x14ac:dyDescent="0.2">
      <c r="C59" s="291"/>
      <c r="D59" s="436"/>
      <c r="E59" s="436"/>
      <c r="F59" s="436"/>
      <c r="G59" s="436"/>
      <c r="H59" s="436"/>
      <c r="I59" s="436"/>
      <c r="J59" s="436"/>
      <c r="K59" s="221"/>
      <c r="L59" s="255"/>
      <c r="M59" s="259"/>
      <c r="N59" s="259"/>
      <c r="O59" s="256"/>
      <c r="P59" s="292"/>
      <c r="Y59" s="163" t="s">
        <v>262</v>
      </c>
      <c r="Z59" s="3"/>
      <c r="AA59" s="3"/>
      <c r="AB59" s="164"/>
      <c r="CQ59" s="64">
        <v>12</v>
      </c>
      <c r="CR59" s="37" t="s">
        <v>142</v>
      </c>
      <c r="DB59" s="64">
        <v>8</v>
      </c>
      <c r="DC59" s="37" t="s">
        <v>142</v>
      </c>
    </row>
    <row r="60" spans="3:116" ht="4.9000000000000004" customHeight="1" x14ac:dyDescent="0.2">
      <c r="C60" s="291"/>
      <c r="D60" s="293"/>
      <c r="E60" s="293"/>
      <c r="F60" s="294"/>
      <c r="G60" s="221"/>
      <c r="H60" s="221"/>
      <c r="I60" s="221"/>
      <c r="J60" s="221"/>
      <c r="K60" s="221"/>
      <c r="L60" s="255"/>
      <c r="M60" s="259"/>
      <c r="N60" s="259"/>
      <c r="O60" s="256"/>
      <c r="P60" s="292"/>
      <c r="Y60" s="2"/>
      <c r="Z60" s="106"/>
      <c r="AA60" s="106"/>
      <c r="AB60" s="165"/>
      <c r="CQ60" s="64">
        <v>11</v>
      </c>
      <c r="CR60" s="37" t="s">
        <v>140</v>
      </c>
      <c r="DB60" s="64">
        <v>11</v>
      </c>
      <c r="DC60" s="37" t="s">
        <v>140</v>
      </c>
    </row>
    <row r="61" spans="3:116" ht="15" customHeight="1" x14ac:dyDescent="0.2">
      <c r="C61" s="291"/>
      <c r="D61" s="436" t="s">
        <v>193</v>
      </c>
      <c r="E61" s="436"/>
      <c r="F61" s="436"/>
      <c r="G61" s="436"/>
      <c r="H61" s="436"/>
      <c r="I61" s="436"/>
      <c r="J61" s="436"/>
      <c r="K61" s="221"/>
      <c r="L61" s="255"/>
      <c r="M61" s="259"/>
      <c r="N61" s="259"/>
      <c r="O61" s="256"/>
      <c r="P61" s="292"/>
      <c r="Y61" s="2">
        <f>J77+N77+N78</f>
        <v>0</v>
      </c>
      <c r="Z61" s="106"/>
      <c r="AA61" s="106"/>
      <c r="AB61" s="165"/>
      <c r="BG61" s="75" t="s">
        <v>167</v>
      </c>
      <c r="BH61" s="73">
        <f>AP10*100</f>
        <v>0</v>
      </c>
      <c r="BK61" t="e">
        <f ca="1">IF(BK56&gt;40.75,(BK56*0.732)-28.58),IF(BK56&lt;=40.74,(BK56*0.463)-17.63),IF(BK56&lt;=38.25,0.1)</f>
        <v>#DIV/0!</v>
      </c>
      <c r="CQ61" s="64">
        <v>26</v>
      </c>
      <c r="CR61" s="38" t="s">
        <v>141</v>
      </c>
      <c r="DB61" s="64">
        <v>18</v>
      </c>
      <c r="DC61" s="38" t="s">
        <v>141</v>
      </c>
    </row>
    <row r="62" spans="3:116" x14ac:dyDescent="0.2">
      <c r="C62" s="291"/>
      <c r="D62" s="436"/>
      <c r="E62" s="436"/>
      <c r="F62" s="436"/>
      <c r="G62" s="436"/>
      <c r="H62" s="436"/>
      <c r="I62" s="436"/>
      <c r="J62" s="436"/>
      <c r="K62" s="221"/>
      <c r="L62" s="255"/>
      <c r="M62" s="259"/>
      <c r="N62" s="259"/>
      <c r="O62" s="256"/>
      <c r="P62" s="292"/>
      <c r="V62" s="21" t="e">
        <f ca="1">IF(E75="Faulkner",S78,"-"),IF(E75="Jackson e Pollock 7 dobras",EL26,"-"),IF(E75="Jackson e Pollock 3 dobras",X78,"-")</f>
        <v>#VALUE!</v>
      </c>
      <c r="Y62" s="2"/>
      <c r="Z62" s="106"/>
      <c r="AA62" s="106"/>
      <c r="AB62" s="165"/>
      <c r="BC62" s="126"/>
      <c r="BD62" s="126"/>
      <c r="BE62" s="126"/>
    </row>
    <row r="63" spans="3:116" ht="4.9000000000000004" customHeight="1" x14ac:dyDescent="0.2">
      <c r="C63" s="291"/>
      <c r="D63" s="293"/>
      <c r="E63" s="293"/>
      <c r="F63" s="294"/>
      <c r="G63" s="221"/>
      <c r="H63" s="221"/>
      <c r="I63" s="221"/>
      <c r="J63" s="221"/>
      <c r="K63" s="221"/>
      <c r="L63" s="255"/>
      <c r="M63" s="259"/>
      <c r="N63" s="259"/>
      <c r="O63" s="256"/>
      <c r="P63" s="292"/>
      <c r="Y63" s="2"/>
      <c r="Z63" s="106"/>
      <c r="AA63" s="106"/>
      <c r="AB63" s="165"/>
      <c r="BC63" s="126"/>
      <c r="BD63" s="126"/>
      <c r="BE63" s="126"/>
    </row>
    <row r="64" spans="3:116" x14ac:dyDescent="0.2">
      <c r="C64" s="291"/>
      <c r="D64" s="437" t="s">
        <v>11</v>
      </c>
      <c r="E64" s="437"/>
      <c r="F64" s="437"/>
      <c r="G64" s="437"/>
      <c r="H64" s="437"/>
      <c r="I64" s="437"/>
      <c r="J64" s="437"/>
      <c r="K64" s="221"/>
      <c r="L64" s="255"/>
      <c r="M64" s="259"/>
      <c r="N64" s="259"/>
      <c r="O64" s="256"/>
      <c r="P64" s="292"/>
      <c r="Y64" s="2" t="s">
        <v>261</v>
      </c>
      <c r="Z64" s="106"/>
      <c r="AA64" s="106"/>
      <c r="AB64" s="165"/>
      <c r="BB64">
        <v>3</v>
      </c>
      <c r="BC64" s="126" t="s">
        <v>174</v>
      </c>
      <c r="BD64" s="126"/>
      <c r="BE64" s="126"/>
    </row>
    <row r="65" spans="3:69" x14ac:dyDescent="0.2">
      <c r="C65" s="295"/>
      <c r="D65" s="296"/>
      <c r="E65" s="296"/>
      <c r="F65" s="297"/>
      <c r="G65" s="279"/>
      <c r="H65" s="279"/>
      <c r="I65" s="279"/>
      <c r="J65" s="279"/>
      <c r="K65" s="279"/>
      <c r="L65" s="298"/>
      <c r="M65" s="299"/>
      <c r="N65" s="299"/>
      <c r="O65" s="298"/>
      <c r="P65" s="300"/>
      <c r="Y65" s="166">
        <f>F78+J79+N78</f>
        <v>0</v>
      </c>
      <c r="Z65" s="1"/>
      <c r="AA65" s="1"/>
      <c r="AB65" s="168"/>
      <c r="BC65" s="126"/>
      <c r="BD65" s="126"/>
      <c r="BE65" s="126"/>
      <c r="BI65" s="127" t="s">
        <v>171</v>
      </c>
      <c r="BJ65" s="127"/>
      <c r="BK65" s="127"/>
      <c r="BM65" s="127" t="s">
        <v>171</v>
      </c>
      <c r="BN65" s="127"/>
      <c r="BO65" s="127"/>
    </row>
    <row r="66" spans="3:69" hidden="1" x14ac:dyDescent="0.2">
      <c r="BC66" s="126"/>
      <c r="BD66" s="126"/>
      <c r="BE66" s="126"/>
      <c r="BI66" s="71"/>
      <c r="BJ66" s="71" t="s">
        <v>168</v>
      </c>
      <c r="BK66" s="74" t="e">
        <f>(BK56*0.732)-28.58</f>
        <v>#DIV/0!</v>
      </c>
      <c r="BM66" s="71"/>
      <c r="BN66" s="77">
        <v>40.76</v>
      </c>
      <c r="BO66" s="74" t="e">
        <f>BK66</f>
        <v>#DIV/0!</v>
      </c>
    </row>
    <row r="67" spans="3:69" x14ac:dyDescent="0.2">
      <c r="C67" s="362" t="s">
        <v>203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S67" t="s">
        <v>375</v>
      </c>
      <c r="BC67" s="126"/>
      <c r="BD67" s="126"/>
      <c r="BE67" s="126"/>
      <c r="BI67" s="128" t="s">
        <v>169</v>
      </c>
      <c r="BJ67" s="128"/>
      <c r="BK67" s="74" t="e">
        <f>(BK56*0.463)-17.63</f>
        <v>#DIV/0!</v>
      </c>
      <c r="BM67" s="76"/>
      <c r="BN67" s="78">
        <v>38.26</v>
      </c>
      <c r="BO67" s="74" t="e">
        <f>BK67</f>
        <v>#DIV/0!</v>
      </c>
    </row>
    <row r="68" spans="3:69" x14ac:dyDescent="0.2">
      <c r="C68" s="238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7"/>
      <c r="S68" t="s">
        <v>385</v>
      </c>
      <c r="W68" s="161" t="s">
        <v>40</v>
      </c>
      <c r="X68" s="178" t="str">
        <f>IF(E75="Faulkner",S78,"-")</f>
        <v>-</v>
      </c>
      <c r="Z68" s="32"/>
      <c r="AB68" s="21"/>
      <c r="AD68" s="21"/>
      <c r="BC68" s="126"/>
      <c r="BD68" s="126"/>
      <c r="BE68" s="126"/>
      <c r="BI68" s="71"/>
      <c r="BJ68" s="71" t="s">
        <v>170</v>
      </c>
      <c r="BK68" s="71">
        <v>0.1</v>
      </c>
      <c r="BM68" s="71"/>
      <c r="BN68" s="77">
        <v>1</v>
      </c>
      <c r="BO68" s="74">
        <f>BK68</f>
        <v>0.1</v>
      </c>
    </row>
    <row r="69" spans="3:69" x14ac:dyDescent="0.2">
      <c r="C69" s="240"/>
      <c r="D69" s="221"/>
      <c r="E69" s="221"/>
      <c r="F69" s="260" t="s">
        <v>92</v>
      </c>
      <c r="G69" s="221"/>
      <c r="H69" s="260" t="s">
        <v>93</v>
      </c>
      <c r="I69" s="221"/>
      <c r="J69" s="221"/>
      <c r="K69" s="221"/>
      <c r="L69" s="221"/>
      <c r="M69" s="221"/>
      <c r="N69" s="221"/>
      <c r="O69" s="221"/>
      <c r="P69" s="278"/>
      <c r="S69" t="s">
        <v>258</v>
      </c>
      <c r="BC69" s="126"/>
      <c r="BD69" s="126"/>
      <c r="BE69" s="126"/>
    </row>
    <row r="70" spans="3:69" x14ac:dyDescent="0.2">
      <c r="C70" s="240"/>
      <c r="D70" s="231" t="s">
        <v>12</v>
      </c>
      <c r="E70" s="231"/>
      <c r="F70" s="263"/>
      <c r="G70" s="221"/>
      <c r="H70" s="263"/>
      <c r="I70" s="221"/>
      <c r="J70" s="377" t="s">
        <v>91</v>
      </c>
      <c r="K70" s="377"/>
      <c r="L70" s="249"/>
      <c r="M70" s="221"/>
      <c r="N70" s="221"/>
      <c r="O70" s="221"/>
      <c r="P70" s="278"/>
      <c r="S70" t="s">
        <v>265</v>
      </c>
      <c r="BB70">
        <v>9</v>
      </c>
      <c r="BC70" s="126" t="s">
        <v>180</v>
      </c>
      <c r="BD70" s="126"/>
      <c r="BE70" s="126"/>
    </row>
    <row r="71" spans="3:69" x14ac:dyDescent="0.2">
      <c r="C71" s="240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78"/>
      <c r="S71" t="s">
        <v>373</v>
      </c>
      <c r="W71" s="163"/>
      <c r="X71" s="169" t="s">
        <v>260</v>
      </c>
      <c r="Y71" s="169"/>
      <c r="Z71" s="169"/>
      <c r="AA71" s="171"/>
      <c r="BC71" s="126"/>
      <c r="BD71" s="126"/>
      <c r="BE71" s="126"/>
      <c r="BQ71" s="79" t="s">
        <v>138</v>
      </c>
    </row>
    <row r="72" spans="3:69" x14ac:dyDescent="0.2">
      <c r="C72" s="240"/>
      <c r="D72" s="377" t="s">
        <v>118</v>
      </c>
      <c r="E72" s="377"/>
      <c r="F72" s="264"/>
      <c r="G72" s="221"/>
      <c r="H72" s="377" t="s">
        <v>17</v>
      </c>
      <c r="I72" s="377"/>
      <c r="J72" s="250"/>
      <c r="K72" s="377" t="s">
        <v>277</v>
      </c>
      <c r="L72" s="377"/>
      <c r="M72" s="377"/>
      <c r="N72" s="258" t="str">
        <f>IF(J72="","-",66+(13.8*F72)+(5*U102)-(6.8*N9))</f>
        <v>-</v>
      </c>
      <c r="O72" s="221"/>
      <c r="P72" s="278"/>
      <c r="S72" t="s">
        <v>372</v>
      </c>
      <c r="W72" s="2"/>
      <c r="X72" s="106" t="e">
        <f>IF(EJ4=0,SUM(1.0994921-(0.0009929*Y65)+(0.0000023*(Y65*Y65))-(0.0001392*N9)),SUM((1.10938-(0.0008267*Y61)+(0.0000016*(Y61*Y61))-(0.0002574*N9))))</f>
        <v>#VALUE!</v>
      </c>
      <c r="Y72" s="106"/>
      <c r="Z72" s="106"/>
      <c r="AA72" s="165"/>
      <c r="BC72" s="126"/>
      <c r="BD72" s="126"/>
      <c r="BE72" s="126"/>
      <c r="BQ72" s="79">
        <v>6</v>
      </c>
    </row>
    <row r="73" spans="3:69" x14ac:dyDescent="0.2">
      <c r="C73" s="240"/>
      <c r="D73" s="231"/>
      <c r="E73" s="231"/>
      <c r="F73" s="255"/>
      <c r="G73" s="256"/>
      <c r="H73" s="255"/>
      <c r="I73" s="221"/>
      <c r="J73" s="221"/>
      <c r="K73" s="221"/>
      <c r="L73" s="221"/>
      <c r="M73" s="221"/>
      <c r="N73" s="221"/>
      <c r="O73" s="221"/>
      <c r="P73" s="278"/>
      <c r="S73" t="s">
        <v>387</v>
      </c>
      <c r="W73" s="2"/>
      <c r="X73" s="106"/>
      <c r="Y73" s="106"/>
      <c r="Z73" s="106"/>
      <c r="AA73" s="165"/>
      <c r="BC73" s="126"/>
      <c r="BD73" s="126"/>
      <c r="BE73" s="126"/>
    </row>
    <row r="74" spans="3:69" x14ac:dyDescent="0.2">
      <c r="C74" s="240"/>
      <c r="D74" s="493" t="s">
        <v>256</v>
      </c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78"/>
      <c r="S74" t="s">
        <v>374</v>
      </c>
      <c r="W74" s="2"/>
      <c r="X74" s="106"/>
      <c r="Y74" s="106"/>
      <c r="Z74" s="106"/>
      <c r="AA74" s="165"/>
      <c r="BC74" s="126"/>
      <c r="BD74" s="126"/>
      <c r="BE74" s="126"/>
    </row>
    <row r="75" spans="3:69" x14ac:dyDescent="0.2">
      <c r="C75" s="240"/>
      <c r="D75" s="493"/>
      <c r="E75" s="383"/>
      <c r="F75" s="384"/>
      <c r="G75" s="384"/>
      <c r="H75" s="384"/>
      <c r="I75" s="384"/>
      <c r="J75" s="385"/>
      <c r="K75" s="221"/>
      <c r="L75" s="221"/>
      <c r="M75" s="221"/>
      <c r="N75" s="221"/>
      <c r="O75" s="221"/>
      <c r="P75" s="278"/>
      <c r="S75" t="s">
        <v>376</v>
      </c>
      <c r="W75" s="2"/>
      <c r="X75" s="106"/>
      <c r="Y75" s="106"/>
      <c r="Z75" s="106"/>
      <c r="AA75" s="165"/>
      <c r="BC75" s="126"/>
      <c r="BD75" s="126"/>
      <c r="BE75" s="126"/>
    </row>
    <row r="76" spans="3:69" x14ac:dyDescent="0.2">
      <c r="C76" s="240"/>
      <c r="D76" s="376" t="s">
        <v>116</v>
      </c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221"/>
      <c r="P76" s="278"/>
      <c r="W76" s="2"/>
      <c r="X76" s="106"/>
      <c r="Y76" s="106"/>
      <c r="Z76" s="106"/>
      <c r="AA76" s="165"/>
      <c r="BC76" s="126"/>
      <c r="BD76" s="126"/>
      <c r="BE76" s="126"/>
      <c r="BL76" t="e">
        <f>VLOOKUP(BQ72,BB62:BE76,2,FALSE)</f>
        <v>#N/A</v>
      </c>
    </row>
    <row r="77" spans="3:69" x14ac:dyDescent="0.2">
      <c r="C77" s="240"/>
      <c r="D77" s="377" t="s">
        <v>18</v>
      </c>
      <c r="E77" s="377"/>
      <c r="F77" s="263"/>
      <c r="G77" s="221"/>
      <c r="H77" s="377" t="s">
        <v>20</v>
      </c>
      <c r="I77" s="377"/>
      <c r="J77" s="263"/>
      <c r="K77" s="221"/>
      <c r="L77" s="377" t="s">
        <v>22</v>
      </c>
      <c r="M77" s="377"/>
      <c r="N77" s="263"/>
      <c r="O77" s="221"/>
      <c r="P77" s="278"/>
      <c r="S77" s="175" t="s">
        <v>259</v>
      </c>
      <c r="W77" s="2"/>
      <c r="X77" s="170" t="s">
        <v>266</v>
      </c>
      <c r="Y77" s="170"/>
      <c r="Z77" s="106"/>
      <c r="AA77" s="165"/>
    </row>
    <row r="78" spans="3:69" x14ac:dyDescent="0.2">
      <c r="C78" s="240"/>
      <c r="D78" s="377" t="s">
        <v>19</v>
      </c>
      <c r="E78" s="377"/>
      <c r="F78" s="263"/>
      <c r="G78" s="221"/>
      <c r="H78" s="377" t="s">
        <v>21</v>
      </c>
      <c r="I78" s="377"/>
      <c r="J78" s="263"/>
      <c r="K78" s="221"/>
      <c r="L78" s="377" t="s">
        <v>23</v>
      </c>
      <c r="M78" s="377"/>
      <c r="N78" s="263"/>
      <c r="O78" s="221"/>
      <c r="P78" s="278"/>
      <c r="S78" s="176">
        <f>(F78+F77+J79+N77)*0.153+5.783</f>
        <v>5.7830000000000004</v>
      </c>
      <c r="W78" s="166"/>
      <c r="X78" s="167" t="e">
        <f>((4.95/X72)-4.5)*100</f>
        <v>#VALUE!</v>
      </c>
      <c r="Y78" s="1"/>
      <c r="Z78" s="1"/>
      <c r="AA78" s="168"/>
    </row>
    <row r="79" spans="3:69" x14ac:dyDescent="0.2">
      <c r="C79" s="240"/>
      <c r="D79" s="377" t="s">
        <v>368</v>
      </c>
      <c r="E79" s="377"/>
      <c r="F79" s="263"/>
      <c r="G79" s="221"/>
      <c r="H79" s="377" t="s">
        <v>43</v>
      </c>
      <c r="I79" s="377"/>
      <c r="J79" s="263"/>
      <c r="K79" s="221"/>
      <c r="L79" s="377" t="s">
        <v>367</v>
      </c>
      <c r="M79" s="377"/>
      <c r="N79" s="263"/>
      <c r="O79" s="221"/>
      <c r="P79" s="278"/>
    </row>
    <row r="80" spans="3:69" x14ac:dyDescent="0.2">
      <c r="C80" s="240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78"/>
      <c r="W80" s="426" t="s">
        <v>375</v>
      </c>
      <c r="X80" s="426"/>
      <c r="Y80" s="21" t="e">
        <f>IF(L9="Feminino",1.2*J101+0.23*N9-10.8*0-5.4,1.2*J101+0.23*N9-10.8*1-5.4)</f>
        <v>#VALUE!</v>
      </c>
    </row>
    <row r="81" spans="3:61" x14ac:dyDescent="0.2">
      <c r="C81" s="240"/>
      <c r="D81" s="221"/>
      <c r="E81" s="221"/>
      <c r="F81" s="221"/>
      <c r="G81" s="221"/>
      <c r="H81" s="221"/>
      <c r="I81" s="221"/>
      <c r="J81" s="221"/>
      <c r="K81" s="221"/>
      <c r="L81" s="377" t="s">
        <v>24</v>
      </c>
      <c r="M81" s="377"/>
      <c r="N81" s="257">
        <f>'Avaliação Física 1'!DV23+N79+F79</f>
        <v>0</v>
      </c>
      <c r="O81" s="221"/>
      <c r="P81" s="278"/>
      <c r="W81" s="426" t="s">
        <v>376</v>
      </c>
      <c r="X81" s="426"/>
      <c r="Y81" s="21">
        <f>IF(L9="feminino",0.11077*F87-0.17666*U102+0.187*F72+51.03301,0.31457*F87-0.10969*F72+10.8336)</f>
        <v>10.833600000000001</v>
      </c>
    </row>
    <row r="82" spans="3:61" x14ac:dyDescent="0.2">
      <c r="C82" s="240"/>
      <c r="D82" s="486" t="s">
        <v>117</v>
      </c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221"/>
      <c r="P82" s="278"/>
    </row>
    <row r="83" spans="3:61" x14ac:dyDescent="0.2">
      <c r="C83" s="240"/>
      <c r="D83" s="221"/>
      <c r="E83" s="221"/>
      <c r="F83" s="221"/>
      <c r="G83" s="221"/>
      <c r="H83" s="221"/>
      <c r="I83" s="221"/>
      <c r="J83" s="260" t="s">
        <v>57</v>
      </c>
      <c r="K83" s="260"/>
      <c r="L83" s="260" t="s">
        <v>58</v>
      </c>
      <c r="M83" s="221"/>
      <c r="N83" s="221"/>
      <c r="O83" s="221"/>
      <c r="P83" s="278"/>
      <c r="S83" t="s">
        <v>257</v>
      </c>
    </row>
    <row r="84" spans="3:61" x14ac:dyDescent="0.2">
      <c r="C84" s="240"/>
      <c r="D84" s="377" t="s">
        <v>226</v>
      </c>
      <c r="E84" s="377"/>
      <c r="F84" s="263"/>
      <c r="G84" s="221"/>
      <c r="H84" s="377" t="s">
        <v>207</v>
      </c>
      <c r="I84" s="377"/>
      <c r="J84" s="263"/>
      <c r="K84" s="221"/>
      <c r="L84" s="263"/>
      <c r="M84" s="221"/>
      <c r="N84" s="221"/>
      <c r="O84" s="221"/>
      <c r="P84" s="278"/>
    </row>
    <row r="85" spans="3:61" x14ac:dyDescent="0.2">
      <c r="C85" s="240"/>
      <c r="D85" s="377" t="s">
        <v>227</v>
      </c>
      <c r="E85" s="377"/>
      <c r="F85" s="263"/>
      <c r="G85" s="221"/>
      <c r="H85" s="377" t="s">
        <v>208</v>
      </c>
      <c r="I85" s="377"/>
      <c r="J85" s="263"/>
      <c r="K85" s="221"/>
      <c r="L85" s="263"/>
      <c r="M85" s="221"/>
      <c r="N85" s="221"/>
      <c r="O85" s="221"/>
      <c r="P85" s="278"/>
      <c r="S85">
        <f>J84-L84</f>
        <v>0</v>
      </c>
      <c r="AA85" t="e">
        <f>INDEX(E75,MATCH(AB:AB,X:AA,0))</f>
        <v>#N/A</v>
      </c>
    </row>
    <row r="86" spans="3:61" x14ac:dyDescent="0.2">
      <c r="C86" s="240"/>
      <c r="D86" s="377" t="s">
        <v>205</v>
      </c>
      <c r="E86" s="377"/>
      <c r="F86" s="263"/>
      <c r="G86" s="221"/>
      <c r="H86" s="377" t="s">
        <v>209</v>
      </c>
      <c r="I86" s="377"/>
      <c r="J86" s="263"/>
      <c r="K86" s="221"/>
      <c r="L86" s="263"/>
      <c r="M86" s="221"/>
      <c r="N86" s="221"/>
      <c r="O86" s="221"/>
      <c r="P86" s="278"/>
      <c r="S86">
        <f>J85-L85</f>
        <v>0</v>
      </c>
      <c r="BG86" s="82">
        <v>3</v>
      </c>
      <c r="BH86" s="82">
        <v>2</v>
      </c>
      <c r="BI86" s="82">
        <v>2</v>
      </c>
    </row>
    <row r="87" spans="3:61" x14ac:dyDescent="0.2">
      <c r="C87" s="240"/>
      <c r="D87" s="377" t="s">
        <v>377</v>
      </c>
      <c r="E87" s="377"/>
      <c r="F87" s="263"/>
      <c r="G87" s="221"/>
      <c r="H87" s="377" t="s">
        <v>210</v>
      </c>
      <c r="I87" s="377"/>
      <c r="J87" s="263"/>
      <c r="K87" s="221"/>
      <c r="L87" s="263"/>
      <c r="M87" s="221"/>
      <c r="N87" s="221"/>
      <c r="O87" s="221"/>
      <c r="P87" s="278"/>
      <c r="S87">
        <f>J86-L86</f>
        <v>0</v>
      </c>
    </row>
    <row r="88" spans="3:61" x14ac:dyDescent="0.2">
      <c r="C88" s="240"/>
      <c r="D88" s="377" t="s">
        <v>206</v>
      </c>
      <c r="E88" s="377"/>
      <c r="F88" s="263"/>
      <c r="G88" s="221"/>
      <c r="H88" s="487"/>
      <c r="I88" s="487"/>
      <c r="J88" s="263"/>
      <c r="K88" s="221"/>
      <c r="L88" s="263"/>
      <c r="M88" s="221"/>
      <c r="N88" s="221"/>
      <c r="O88" s="221"/>
      <c r="P88" s="278"/>
      <c r="S88">
        <f>J87-L87</f>
        <v>0</v>
      </c>
      <c r="U88" s="6" t="s">
        <v>26</v>
      </c>
      <c r="V88" s="6" t="s">
        <v>27</v>
      </c>
      <c r="X88">
        <v>1</v>
      </c>
      <c r="Y88" s="426" t="s">
        <v>258</v>
      </c>
      <c r="Z88" s="426"/>
      <c r="AA88" s="426"/>
      <c r="AB88" s="21">
        <f>S78</f>
        <v>5.7830000000000004</v>
      </c>
    </row>
    <row r="89" spans="3:61" x14ac:dyDescent="0.2">
      <c r="C89" s="240"/>
      <c r="D89" s="231"/>
      <c r="E89" s="231"/>
      <c r="F89" s="256"/>
      <c r="G89" s="256"/>
      <c r="H89" s="256"/>
      <c r="I89" s="256"/>
      <c r="J89" s="256"/>
      <c r="K89" s="256"/>
      <c r="L89" s="256"/>
      <c r="M89" s="221"/>
      <c r="N89" s="221"/>
      <c r="O89" s="221"/>
      <c r="P89" s="278"/>
      <c r="U89" s="7"/>
      <c r="V89" s="7"/>
      <c r="X89">
        <v>2</v>
      </c>
      <c r="Y89" s="426" t="s">
        <v>263</v>
      </c>
      <c r="Z89" s="426"/>
      <c r="AA89" s="426"/>
      <c r="AB89" s="21" t="e">
        <f>EL26</f>
        <v>#VALUE!</v>
      </c>
    </row>
    <row r="90" spans="3:61" x14ac:dyDescent="0.2">
      <c r="C90" s="240"/>
      <c r="D90" s="261"/>
      <c r="E90" s="261"/>
      <c r="F90" s="283"/>
      <c r="G90" s="283"/>
      <c r="H90" s="473"/>
      <c r="I90" s="473"/>
      <c r="J90" s="255"/>
      <c r="K90" s="256"/>
      <c r="L90" s="255"/>
      <c r="M90" s="221"/>
      <c r="N90" s="221"/>
      <c r="O90" s="221"/>
      <c r="P90" s="278"/>
      <c r="R90" s="305" t="s">
        <v>388</v>
      </c>
      <c r="S90">
        <f>IF(S85&lt;0,-S85,S85)</f>
        <v>0</v>
      </c>
      <c r="U90" s="7"/>
      <c r="V90" s="7"/>
      <c r="X90">
        <v>3</v>
      </c>
      <c r="Y90" s="426" t="s">
        <v>264</v>
      </c>
      <c r="Z90" s="426"/>
      <c r="AA90" s="426"/>
      <c r="AB90" s="21" t="e">
        <f>X78</f>
        <v>#VALUE!</v>
      </c>
    </row>
    <row r="91" spans="3:61" x14ac:dyDescent="0.2">
      <c r="C91" s="240"/>
      <c r="D91" s="231" t="s">
        <v>62</v>
      </c>
      <c r="E91" s="430" t="str">
        <f>IF(F88="","-",F86/F88)</f>
        <v>-</v>
      </c>
      <c r="F91" s="488"/>
      <c r="G91" s="221"/>
      <c r="H91" s="231" t="s">
        <v>27</v>
      </c>
      <c r="I91" s="446" t="str">
        <f>IF(F88="","-",'Avaliação Física 1'!AY18)</f>
        <v>-</v>
      </c>
      <c r="J91" s="431"/>
      <c r="K91" s="221"/>
      <c r="L91" s="221"/>
      <c r="M91" s="221"/>
      <c r="N91" s="221"/>
      <c r="O91" s="221"/>
      <c r="P91" s="278"/>
      <c r="R91" s="305" t="s">
        <v>389</v>
      </c>
      <c r="S91">
        <f t="shared" ref="S91:S93" si="1">IF(S86&lt;0,-S86,S86)</f>
        <v>0</v>
      </c>
      <c r="U91" s="7">
        <v>0</v>
      </c>
      <c r="V91" s="7" t="s">
        <v>28</v>
      </c>
      <c r="X91">
        <v>4</v>
      </c>
      <c r="Y91" s="426" t="s">
        <v>265</v>
      </c>
      <c r="Z91" s="426"/>
      <c r="AA91" s="426"/>
      <c r="AB91" s="21" t="e">
        <f>Y43</f>
        <v>#NUM!</v>
      </c>
    </row>
    <row r="92" spans="3:61" x14ac:dyDescent="0.2">
      <c r="C92" s="240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78"/>
      <c r="R92" s="305" t="s">
        <v>390</v>
      </c>
      <c r="S92">
        <f t="shared" si="1"/>
        <v>0</v>
      </c>
      <c r="U92" s="7">
        <v>16.100000000000001</v>
      </c>
      <c r="V92" s="7" t="s">
        <v>29</v>
      </c>
      <c r="X92">
        <v>5</v>
      </c>
      <c r="Y92" s="477" t="s">
        <v>374</v>
      </c>
      <c r="Z92" s="477"/>
      <c r="AA92" s="477"/>
      <c r="AB92">
        <f>T120</f>
        <v>1</v>
      </c>
      <c r="BB92">
        <v>1</v>
      </c>
      <c r="BC92" s="126" t="s">
        <v>172</v>
      </c>
      <c r="BD92" s="126"/>
      <c r="BE92" s="126"/>
    </row>
    <row r="93" spans="3:61" x14ac:dyDescent="0.2">
      <c r="C93" s="240"/>
      <c r="D93" s="486" t="s">
        <v>212</v>
      </c>
      <c r="E93" s="486"/>
      <c r="F93" s="486"/>
      <c r="G93" s="486"/>
      <c r="H93" s="486"/>
      <c r="I93" s="486"/>
      <c r="J93" s="486"/>
      <c r="K93" s="486"/>
      <c r="L93" s="486"/>
      <c r="M93" s="221"/>
      <c r="N93" s="221"/>
      <c r="O93" s="221"/>
      <c r="P93" s="278"/>
      <c r="R93" s="305" t="s">
        <v>391</v>
      </c>
      <c r="S93">
        <f t="shared" si="1"/>
        <v>0</v>
      </c>
      <c r="U93" s="7">
        <v>17</v>
      </c>
      <c r="V93" s="7" t="s">
        <v>30</v>
      </c>
      <c r="X93">
        <v>6</v>
      </c>
      <c r="Y93" s="426" t="s">
        <v>375</v>
      </c>
      <c r="Z93" s="426"/>
      <c r="AA93" s="426"/>
      <c r="AB93" s="21" t="e">
        <f>Y80</f>
        <v>#VALUE!</v>
      </c>
      <c r="BB93">
        <v>2</v>
      </c>
      <c r="BC93" s="126" t="s">
        <v>173</v>
      </c>
      <c r="BD93" s="126"/>
      <c r="BE93" s="126"/>
      <c r="BH93" s="111" t="str">
        <f>IF(AND(BG86&lt;BH86,BH86&lt;BI86),"ECTOMORFO-ENDOMORFO","")</f>
        <v/>
      </c>
    </row>
    <row r="94" spans="3:61" x14ac:dyDescent="0.2">
      <c r="C94" s="240"/>
      <c r="D94" s="377" t="s">
        <v>151</v>
      </c>
      <c r="E94" s="377"/>
      <c r="F94" s="377"/>
      <c r="G94" s="472"/>
      <c r="H94" s="472"/>
      <c r="I94" s="221"/>
      <c r="J94" s="231" t="s">
        <v>154</v>
      </c>
      <c r="K94" s="472"/>
      <c r="L94" s="472"/>
      <c r="M94" s="221"/>
      <c r="N94" s="221"/>
      <c r="O94" s="221"/>
      <c r="P94" s="278"/>
      <c r="U94" s="7">
        <v>18.5</v>
      </c>
      <c r="V94" s="7" t="s">
        <v>31</v>
      </c>
      <c r="X94">
        <v>7</v>
      </c>
      <c r="Y94" s="426" t="s">
        <v>376</v>
      </c>
      <c r="Z94" s="426"/>
      <c r="AA94" s="426"/>
      <c r="AB94">
        <f>Y81</f>
        <v>10.833600000000001</v>
      </c>
      <c r="BB94">
        <v>3</v>
      </c>
      <c r="BC94" s="126" t="s">
        <v>174</v>
      </c>
      <c r="BD94" s="126"/>
      <c r="BE94" s="126"/>
    </row>
    <row r="95" spans="3:61" x14ac:dyDescent="0.2">
      <c r="C95" s="240"/>
      <c r="D95" s="377" t="s">
        <v>242</v>
      </c>
      <c r="E95" s="377"/>
      <c r="F95" s="377"/>
      <c r="G95" s="472"/>
      <c r="H95" s="472"/>
      <c r="I95" s="221"/>
      <c r="J95" s="221"/>
      <c r="K95" s="221"/>
      <c r="L95" s="221"/>
      <c r="M95" s="221"/>
      <c r="N95" s="221"/>
      <c r="O95" s="221"/>
      <c r="P95" s="278"/>
      <c r="U95" s="7">
        <v>24.5</v>
      </c>
      <c r="V95" s="7" t="s">
        <v>32</v>
      </c>
      <c r="X95">
        <v>8</v>
      </c>
      <c r="Y95" s="426" t="s">
        <v>370</v>
      </c>
      <c r="Z95" s="426"/>
      <c r="AA95" s="426"/>
      <c r="AB95" s="21" t="e">
        <f>AA177</f>
        <v>#NUM!</v>
      </c>
      <c r="BB95">
        <v>4</v>
      </c>
      <c r="BC95" s="126" t="s">
        <v>175</v>
      </c>
      <c r="BD95" s="126"/>
      <c r="BE95" s="126"/>
      <c r="BH95" s="79" t="str">
        <f>IF(AND(BG86&gt;BH86,BH86=BI86),"Endomorfo","-")</f>
        <v>Endomorfo</v>
      </c>
    </row>
    <row r="96" spans="3:61" x14ac:dyDescent="0.2">
      <c r="C96" s="240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78"/>
      <c r="S96" t="str">
        <f>L101</f>
        <v>(informe peso e altura)</v>
      </c>
      <c r="U96" s="7">
        <v>30</v>
      </c>
      <c r="V96" s="7" t="s">
        <v>33</v>
      </c>
      <c r="X96">
        <v>9</v>
      </c>
      <c r="Y96" s="426" t="s">
        <v>386</v>
      </c>
      <c r="Z96" s="426"/>
      <c r="AA96" s="426"/>
      <c r="AB96" s="21" t="e">
        <f>Y52</f>
        <v>#VALUE!</v>
      </c>
      <c r="BB96">
        <v>5</v>
      </c>
      <c r="BC96" s="126" t="s">
        <v>176</v>
      </c>
      <c r="BD96" s="126"/>
      <c r="BE96" s="126"/>
    </row>
    <row r="97" spans="3:61" x14ac:dyDescent="0.2">
      <c r="C97" s="240"/>
      <c r="D97" s="486" t="s">
        <v>25</v>
      </c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221"/>
      <c r="P97" s="278"/>
      <c r="U97" s="7">
        <v>35</v>
      </c>
      <c r="V97" s="7" t="s">
        <v>34</v>
      </c>
      <c r="BB97">
        <v>6</v>
      </c>
      <c r="BC97" s="126" t="s">
        <v>177</v>
      </c>
      <c r="BD97" s="126"/>
      <c r="BE97" s="126"/>
    </row>
    <row r="98" spans="3:61" x14ac:dyDescent="0.2">
      <c r="C98" s="240"/>
      <c r="D98" s="462" t="s">
        <v>120</v>
      </c>
      <c r="E98" s="462"/>
      <c r="F98" s="251" t="str">
        <f>IF(E75="","-",VLOOKUP($E$75,tbGC[[nome]:[resultado]],2,FALSE))</f>
        <v>-</v>
      </c>
      <c r="G98" s="221"/>
      <c r="H98" s="462" t="s">
        <v>364</v>
      </c>
      <c r="I98" s="462"/>
      <c r="J98" s="252" t="str">
        <f>IF(F72="","-",IF(L9="feminino",F72*0.209,F72*0.241))</f>
        <v>-</v>
      </c>
      <c r="K98" s="221"/>
      <c r="L98" s="355" t="s">
        <v>366</v>
      </c>
      <c r="M98" s="355"/>
      <c r="N98" s="355"/>
      <c r="O98" s="221"/>
      <c r="P98" s="278"/>
      <c r="U98" s="7"/>
      <c r="V98" s="7"/>
      <c r="BB98">
        <v>7</v>
      </c>
      <c r="BC98" s="126" t="s">
        <v>178</v>
      </c>
      <c r="BD98" s="126"/>
      <c r="BE98" s="126"/>
      <c r="BI98" s="71"/>
    </row>
    <row r="99" spans="3:61" x14ac:dyDescent="0.2">
      <c r="C99" s="240"/>
      <c r="D99" s="462" t="s">
        <v>361</v>
      </c>
      <c r="E99" s="462"/>
      <c r="F99" s="252" t="str">
        <f>IF(F72=0,"-",(F72-F100))</f>
        <v>-</v>
      </c>
      <c r="G99" s="221"/>
      <c r="H99" s="462" t="s">
        <v>365</v>
      </c>
      <c r="I99" s="462"/>
      <c r="J99" s="252" t="str">
        <f>IF(J72="","-",3.02*(J72^2*T113*T114*400)^0.712)</f>
        <v>-</v>
      </c>
      <c r="K99" s="221"/>
      <c r="L99" s="499" t="str">
        <f>IF(F98="-","-",AU258)</f>
        <v>-</v>
      </c>
      <c r="M99" s="500"/>
      <c r="N99" s="501"/>
      <c r="O99" s="221"/>
      <c r="P99" s="278"/>
      <c r="U99" s="7">
        <v>40</v>
      </c>
      <c r="V99" s="7" t="s">
        <v>35</v>
      </c>
      <c r="BB99">
        <v>8</v>
      </c>
      <c r="BC99" s="126" t="s">
        <v>179</v>
      </c>
      <c r="BD99" s="126"/>
      <c r="BE99" s="126"/>
    </row>
    <row r="100" spans="3:61" x14ac:dyDescent="0.2">
      <c r="C100" s="359" t="s">
        <v>362</v>
      </c>
      <c r="D100" s="360"/>
      <c r="E100" s="361"/>
      <c r="F100" s="252" t="str">
        <f>IF(F72=0,"-",(F72-U107))</f>
        <v>-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78"/>
      <c r="U100" s="7"/>
      <c r="V100" s="7"/>
      <c r="BB100">
        <v>9</v>
      </c>
      <c r="BC100" s="126" t="s">
        <v>180</v>
      </c>
      <c r="BD100" s="126"/>
      <c r="BE100" s="126"/>
    </row>
    <row r="101" spans="3:61" x14ac:dyDescent="0.2">
      <c r="C101" s="240"/>
      <c r="D101" s="462" t="s">
        <v>363</v>
      </c>
      <c r="E101" s="462"/>
      <c r="F101" s="252" t="str">
        <f>IF(F72="","-",F72-(F99+J98+J99))</f>
        <v>-</v>
      </c>
      <c r="G101" s="253"/>
      <c r="H101" s="462" t="s">
        <v>26</v>
      </c>
      <c r="I101" s="462"/>
      <c r="J101" s="254" t="str">
        <f>IF(J72="","-",'Avaliação Física 1'!DZ11)</f>
        <v>-</v>
      </c>
      <c r="K101" s="221"/>
      <c r="L101" s="461" t="str">
        <f>IF(J72&gt;0,VLOOKUP(J101,AUX_IMC_Classificação3[],2,TRUE),"(informe peso e altura)")</f>
        <v>(informe peso e altura)</v>
      </c>
      <c r="M101" s="461"/>
      <c r="N101" s="461"/>
      <c r="O101" s="221"/>
      <c r="P101" s="278"/>
      <c r="BB101">
        <v>10</v>
      </c>
      <c r="BC101" s="126" t="s">
        <v>181</v>
      </c>
      <c r="BD101" s="126"/>
      <c r="BE101" s="126"/>
    </row>
    <row r="102" spans="3:61" x14ac:dyDescent="0.2">
      <c r="C102" s="240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78"/>
      <c r="T102" t="s">
        <v>276</v>
      </c>
      <c r="U102">
        <f>J72*100</f>
        <v>0</v>
      </c>
      <c r="BB102">
        <v>11</v>
      </c>
      <c r="BC102" s="126" t="s">
        <v>182</v>
      </c>
      <c r="BD102" s="126"/>
      <c r="BE102" s="126"/>
    </row>
    <row r="103" spans="3:61" x14ac:dyDescent="0.2">
      <c r="C103" s="240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78"/>
      <c r="BB103">
        <v>12</v>
      </c>
      <c r="BC103" s="126" t="s">
        <v>183</v>
      </c>
      <c r="BD103" s="126"/>
      <c r="BE103" s="126"/>
    </row>
    <row r="104" spans="3:61" x14ac:dyDescent="0.2">
      <c r="C104" s="240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78"/>
      <c r="BB104">
        <v>13</v>
      </c>
      <c r="BC104" s="126" t="s">
        <v>184</v>
      </c>
      <c r="BD104" s="126"/>
      <c r="BE104" s="126"/>
    </row>
    <row r="105" spans="3:61" x14ac:dyDescent="0.2">
      <c r="C105" s="240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78"/>
    </row>
    <row r="106" spans="3:61" x14ac:dyDescent="0.2">
      <c r="C106" s="240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78"/>
      <c r="X106" t="s">
        <v>271</v>
      </c>
      <c r="Y106" t="e">
        <f>1.17136-((LOG10(Y35))*0.06706)</f>
        <v>#NUM!</v>
      </c>
    </row>
    <row r="107" spans="3:61" x14ac:dyDescent="0.2">
      <c r="C107" s="240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78"/>
      <c r="U107" s="179" t="e">
        <f>F72*F98%</f>
        <v>#VALUE!</v>
      </c>
    </row>
    <row r="108" spans="3:61" x14ac:dyDescent="0.2">
      <c r="C108" s="240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78"/>
      <c r="X108" t="s">
        <v>272</v>
      </c>
      <c r="Y108" t="e">
        <f>1.1665-((LOG10(Y38))*0.07063)</f>
        <v>#NUM!</v>
      </c>
    </row>
    <row r="109" spans="3:61" x14ac:dyDescent="0.2">
      <c r="C109" s="240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78"/>
    </row>
    <row r="110" spans="3:61" x14ac:dyDescent="0.2">
      <c r="C110" s="240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78"/>
    </row>
    <row r="111" spans="3:61" x14ac:dyDescent="0.2">
      <c r="C111" s="240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78"/>
    </row>
    <row r="112" spans="3:61" x14ac:dyDescent="0.2">
      <c r="C112" s="240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78"/>
    </row>
    <row r="113" spans="3:28" x14ac:dyDescent="0.2">
      <c r="C113" s="240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78"/>
      <c r="S113">
        <f>K94</f>
        <v>0</v>
      </c>
      <c r="T113">
        <f>S113/100</f>
        <v>0</v>
      </c>
    </row>
    <row r="114" spans="3:28" x14ac:dyDescent="0.2">
      <c r="C114" s="241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80"/>
      <c r="S114">
        <f>G95</f>
        <v>0</v>
      </c>
      <c r="T114">
        <f>S114/100</f>
        <v>0</v>
      </c>
    </row>
    <row r="115" spans="3:28" x14ac:dyDescent="0.2"/>
    <row r="116" spans="3:28" x14ac:dyDescent="0.2">
      <c r="C116" s="362" t="s">
        <v>218</v>
      </c>
      <c r="D116" s="362"/>
      <c r="E116" s="362"/>
      <c r="F116" s="362"/>
      <c r="G116" s="362"/>
      <c r="H116" s="362"/>
      <c r="I116" s="362"/>
      <c r="J116" s="362" t="s">
        <v>253</v>
      </c>
      <c r="K116" s="362"/>
      <c r="L116" s="362"/>
      <c r="M116" s="362"/>
      <c r="N116" s="362"/>
      <c r="O116" s="362"/>
      <c r="P116" s="362"/>
      <c r="AB116" t="s">
        <v>240</v>
      </c>
    </row>
    <row r="117" spans="3:28" ht="4.9000000000000004" customHeight="1" x14ac:dyDescent="0.3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</row>
    <row r="118" spans="3:28" x14ac:dyDescent="0.2">
      <c r="C118" s="238"/>
      <c r="D118" s="405" t="s">
        <v>220</v>
      </c>
      <c r="E118" s="405"/>
      <c r="F118" s="239" t="str">
        <f>IF(L84="","-",S90)</f>
        <v>-</v>
      </c>
      <c r="G118" s="463" t="str">
        <f>IF(F118&gt;=1.5,"Diferença significativa",IF(F118&lt;=-1.5,"Diferença significativa","Não Significativa"))</f>
        <v>Diferença significativa</v>
      </c>
      <c r="H118" s="464"/>
      <c r="I118" s="233"/>
      <c r="J118" s="358" t="s">
        <v>380</v>
      </c>
      <c r="K118" s="358"/>
      <c r="L118" s="358"/>
      <c r="M118" s="358"/>
      <c r="N118" s="358"/>
      <c r="O118" s="358"/>
      <c r="P118" s="221"/>
      <c r="W118" s="116">
        <v>3</v>
      </c>
      <c r="X118" s="117" t="s">
        <v>233</v>
      </c>
      <c r="Y118" s="118"/>
      <c r="Z118" s="118"/>
      <c r="AB118" s="21" t="e">
        <f>(J119*(170.18/(100*J72))-24.78)/4.31</f>
        <v>#DIV/0!</v>
      </c>
    </row>
    <row r="119" spans="3:28" x14ac:dyDescent="0.2">
      <c r="C119" s="240"/>
      <c r="D119" s="406" t="s">
        <v>219</v>
      </c>
      <c r="E119" s="406"/>
      <c r="F119" s="234" t="str">
        <f>IF(L85="","-",S91)</f>
        <v>-</v>
      </c>
      <c r="G119" s="465" t="str">
        <f>IF(F119&gt;=1.5,"Diferença significativa",IF(F119&lt;=-1.5,"Diferença significativa","Não Significativa"))</f>
        <v>Diferença significativa</v>
      </c>
      <c r="H119" s="466"/>
      <c r="I119" s="233"/>
      <c r="J119" s="236">
        <f>J84-(3.1415*F78/10)</f>
        <v>0</v>
      </c>
      <c r="K119" s="235">
        <f t="shared" ref="K119:K121" si="2">IF(G119="Não significativa",0,1)</f>
        <v>1</v>
      </c>
      <c r="L119" s="469" t="str">
        <f>IF(J84=0,"-",IF(J84&gt;0,IF(AB118&gt;3,X118,IF(AB118&gt;2,X119,IF(AB118&gt;1,X120,IF(AB118&gt;-1,X121,IF(AB118&gt;-2,X122,IF(AB118&gt;-3,X123,IF(AB118&lt;-3,X124)))))))))</f>
        <v>-</v>
      </c>
      <c r="M119" s="470"/>
      <c r="N119" s="470"/>
      <c r="O119" s="471"/>
      <c r="P119" s="221"/>
      <c r="T119" s="497" t="s">
        <v>369</v>
      </c>
      <c r="U119" s="497"/>
      <c r="W119" s="116">
        <v>2</v>
      </c>
      <c r="X119" s="117" t="s">
        <v>234</v>
      </c>
      <c r="Y119" s="118"/>
      <c r="Z119" s="118"/>
    </row>
    <row r="120" spans="3:28" ht="15.75" x14ac:dyDescent="0.2">
      <c r="C120" s="240"/>
      <c r="D120" s="406" t="s">
        <v>221</v>
      </c>
      <c r="E120" s="406"/>
      <c r="F120" s="234" t="str">
        <f>IF(L86="","-",S92)</f>
        <v>-</v>
      </c>
      <c r="G120" s="465" t="str">
        <f>IF(F120&gt;=1.5,"Diferença significativa",IF(F120&lt;=-1.5,"Diferença significativa","Não Significativa"))</f>
        <v>Diferença significativa</v>
      </c>
      <c r="H120" s="466"/>
      <c r="I120" s="233"/>
      <c r="J120" s="360" t="s">
        <v>254</v>
      </c>
      <c r="K120" s="360"/>
      <c r="L120" s="360"/>
      <c r="M120" s="360"/>
      <c r="N120" s="360"/>
      <c r="O120" s="360"/>
      <c r="P120" s="360"/>
      <c r="T120">
        <f>IF(L9="Feminino",0.61*(F78+N79)+5.1,0.735*(F78+N79)+1)</f>
        <v>1</v>
      </c>
      <c r="W120" s="116">
        <v>1</v>
      </c>
      <c r="X120" s="117" t="s">
        <v>235</v>
      </c>
      <c r="Y120" s="118"/>
      <c r="Z120" s="118"/>
      <c r="AB120" t="s">
        <v>241</v>
      </c>
    </row>
    <row r="121" spans="3:28" x14ac:dyDescent="0.2">
      <c r="C121" s="241"/>
      <c r="D121" s="407" t="s">
        <v>222</v>
      </c>
      <c r="E121" s="407"/>
      <c r="F121" s="242" t="str">
        <f>IF(L87="","-",S93)</f>
        <v>-</v>
      </c>
      <c r="G121" s="467" t="str">
        <f>IF(F121&gt;=1.5,"Diferença significativa",IF(F121&lt;=-1.5,"Diferença significativa","Não Significativa"))</f>
        <v>Diferença significativa</v>
      </c>
      <c r="H121" s="468"/>
      <c r="I121" s="233"/>
      <c r="J121" s="237">
        <f>0.649*((J86-3.1415*(N78/10))^2-(0.3-G95)^2)</f>
        <v>-5.8409999999999997E-2</v>
      </c>
      <c r="K121" s="235">
        <f t="shared" si="2"/>
        <v>1</v>
      </c>
      <c r="L121" s="423" t="str">
        <f>IF(J86=0,"-",IF(J86&gt;0,IF(AB121&gt;3,X118,IF(AB121&gt;2,X119,IF(AB121&gt;1,X120,IF(AB121&gt;-1,X121,IF(AB121&gt;-2,X122,IF(AB121&gt;-3,X123,IF(AB121&lt;-3,X124)))))))))</f>
        <v>-</v>
      </c>
      <c r="M121" s="424"/>
      <c r="N121" s="424"/>
      <c r="O121" s="425"/>
      <c r="P121" s="221"/>
      <c r="W121" s="116">
        <v>0</v>
      </c>
      <c r="X121" s="117" t="s">
        <v>236</v>
      </c>
      <c r="Y121" s="118"/>
      <c r="Z121" s="118"/>
      <c r="AB121" s="21" t="e">
        <f>(J121*(170.18/(100*J72))-1242.6)/210.9</f>
        <v>#DIV/0!</v>
      </c>
    </row>
    <row r="122" spans="3:28" x14ac:dyDescent="0.2">
      <c r="W122" s="116">
        <v>-1</v>
      </c>
      <c r="X122" s="117" t="s">
        <v>237</v>
      </c>
      <c r="Y122" s="118"/>
      <c r="Z122" s="118"/>
    </row>
    <row r="123" spans="3:28" ht="14.45" hidden="1" customHeight="1" x14ac:dyDescent="0.2">
      <c r="C123" s="92"/>
      <c r="W123" s="116">
        <v>-2</v>
      </c>
      <c r="X123" s="117" t="s">
        <v>238</v>
      </c>
      <c r="Y123" s="118"/>
      <c r="Z123" s="118"/>
    </row>
    <row r="124" spans="3:28" ht="14.45" hidden="1" customHeight="1" x14ac:dyDescent="0.2">
      <c r="F124" s="12"/>
      <c r="H124" s="12"/>
      <c r="W124" s="116">
        <v>-3</v>
      </c>
      <c r="X124" s="117" t="s">
        <v>239</v>
      </c>
      <c r="Y124" s="118"/>
      <c r="Z124" s="118"/>
    </row>
    <row r="125" spans="3:28" ht="14.45" hidden="1" customHeight="1" x14ac:dyDescent="0.2">
      <c r="D125" s="426"/>
      <c r="E125" s="426"/>
      <c r="F125" s="12"/>
      <c r="H125" s="12"/>
      <c r="J125" s="426"/>
      <c r="K125" s="426"/>
      <c r="M125" s="457"/>
      <c r="N125" s="457"/>
      <c r="S125" s="12"/>
    </row>
    <row r="126" spans="3:28" ht="14.45" hidden="1" customHeight="1" x14ac:dyDescent="0.2">
      <c r="T126" s="426"/>
      <c r="U126" s="426"/>
      <c r="V126" s="426"/>
    </row>
    <row r="127" spans="3:28" ht="14.45" hidden="1" customHeight="1" x14ac:dyDescent="0.2"/>
    <row r="128" spans="3:28" ht="15" hidden="1" customHeight="1" x14ac:dyDescent="0.2">
      <c r="T128" s="11"/>
      <c r="U128" s="11"/>
      <c r="V128" s="11"/>
      <c r="W128" s="119"/>
      <c r="X128" s="119"/>
    </row>
    <row r="129" spans="19:24" ht="15" hidden="1" customHeight="1" x14ac:dyDescent="0.2">
      <c r="T129" s="11"/>
      <c r="U129" s="11"/>
      <c r="V129" s="11"/>
      <c r="W129" s="119"/>
      <c r="X129" s="119"/>
    </row>
    <row r="130" spans="19:24" ht="15" hidden="1" customHeight="1" x14ac:dyDescent="0.2">
      <c r="S130" s="12"/>
      <c r="T130" s="11"/>
      <c r="U130" s="11"/>
      <c r="V130" s="11"/>
      <c r="W130" s="119"/>
      <c r="X130" s="119"/>
    </row>
    <row r="131" spans="19:24" ht="14.45" hidden="1" customHeight="1" x14ac:dyDescent="0.2">
      <c r="T131" s="11"/>
      <c r="U131" s="11"/>
      <c r="V131" s="11"/>
      <c r="W131" s="119"/>
      <c r="X131" s="119"/>
    </row>
    <row r="132" spans="19:24" ht="14.45" hidden="1" customHeight="1" x14ac:dyDescent="0.2">
      <c r="T132" s="11"/>
      <c r="U132" s="11"/>
      <c r="V132" s="11"/>
      <c r="W132" s="119"/>
      <c r="X132" s="119"/>
    </row>
    <row r="133" spans="19:24" ht="14.45" hidden="1" customHeight="1" x14ac:dyDescent="0.2">
      <c r="T133" s="11"/>
      <c r="U133" s="11"/>
      <c r="V133" s="11"/>
      <c r="W133" s="119"/>
      <c r="X133" s="119"/>
    </row>
    <row r="134" spans="19:24" ht="14.45" hidden="1" customHeight="1" x14ac:dyDescent="0.2">
      <c r="S134" s="12"/>
      <c r="T134" s="11"/>
      <c r="U134" s="11"/>
      <c r="V134" s="11"/>
      <c r="W134" s="119"/>
      <c r="X134" s="119"/>
    </row>
    <row r="135" spans="19:24" ht="14.45" hidden="1" customHeight="1" x14ac:dyDescent="0.2">
      <c r="T135" s="11"/>
      <c r="U135" s="11"/>
      <c r="V135" s="11"/>
      <c r="W135" s="119"/>
      <c r="X135" s="119"/>
    </row>
    <row r="136" spans="19:24" ht="14.45" hidden="1" customHeight="1" x14ac:dyDescent="0.2">
      <c r="S136" s="73"/>
      <c r="T136" s="11"/>
      <c r="U136" s="11"/>
      <c r="V136" s="11"/>
      <c r="W136" s="119"/>
      <c r="X136" s="119"/>
    </row>
    <row r="137" spans="19:24" ht="15" hidden="1" customHeight="1" x14ac:dyDescent="0.2">
      <c r="T137" s="11"/>
      <c r="U137" s="11"/>
      <c r="V137" s="11"/>
      <c r="W137" s="119"/>
      <c r="X137" s="119"/>
    </row>
    <row r="138" spans="19:24" hidden="1" x14ac:dyDescent="0.2">
      <c r="W138" s="120"/>
      <c r="X138" s="120"/>
    </row>
    <row r="139" spans="19:24" hidden="1" x14ac:dyDescent="0.2"/>
    <row r="140" spans="19:24" hidden="1" x14ac:dyDescent="0.2"/>
    <row r="141" spans="19:24" hidden="1" x14ac:dyDescent="0.2"/>
    <row r="142" spans="19:24" hidden="1" x14ac:dyDescent="0.2"/>
    <row r="143" spans="19:24" hidden="1" x14ac:dyDescent="0.2"/>
    <row r="144" spans="19:24" hidden="1" x14ac:dyDescent="0.2"/>
    <row r="145" spans="3:28" hidden="1" x14ac:dyDescent="0.2"/>
    <row r="146" spans="3:28" hidden="1" x14ac:dyDescent="0.2"/>
    <row r="147" spans="3:28" ht="6" hidden="1" customHeight="1" x14ac:dyDescent="0.2"/>
    <row r="148" spans="3:28" ht="14.45" customHeight="1" x14ac:dyDescent="0.3">
      <c r="C148" s="375" t="s">
        <v>211</v>
      </c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X148" s="160" t="s">
        <v>273</v>
      </c>
      <c r="Y148" s="126" t="s">
        <v>274</v>
      </c>
      <c r="Z148" t="s">
        <v>138</v>
      </c>
      <c r="AA148" s="126"/>
    </row>
    <row r="149" spans="3:28" ht="14.45" customHeight="1" x14ac:dyDescent="0.2">
      <c r="C149" s="240"/>
      <c r="D149" s="221"/>
      <c r="E149" s="221"/>
      <c r="F149" s="221"/>
      <c r="G149" s="221"/>
      <c r="H149" s="221"/>
      <c r="I149" s="278"/>
      <c r="J149" s="484" t="s">
        <v>252</v>
      </c>
      <c r="K149" s="485"/>
      <c r="L149" s="485"/>
      <c r="M149" s="485"/>
      <c r="N149" s="485"/>
      <c r="O149" s="485"/>
      <c r="P149" s="485"/>
      <c r="X149">
        <v>1</v>
      </c>
      <c r="Y149" s="126" t="s">
        <v>258</v>
      </c>
      <c r="Z149" s="21">
        <f t="shared" ref="Z149:Z156" si="3">AB88</f>
        <v>5.7830000000000004</v>
      </c>
      <c r="AA149" s="126"/>
    </row>
    <row r="150" spans="3:28" x14ac:dyDescent="0.2">
      <c r="C150" s="240"/>
      <c r="D150" s="221"/>
      <c r="E150" s="221"/>
      <c r="F150" s="355" t="str">
        <f>IF($G$95="","",'Avaliação Física 1'!AO30)</f>
        <v/>
      </c>
      <c r="G150" s="355"/>
      <c r="H150" s="355"/>
      <c r="I150" s="278"/>
      <c r="J150" s="484"/>
      <c r="K150" s="485"/>
      <c r="L150" s="485"/>
      <c r="M150" s="485"/>
      <c r="N150" s="485"/>
      <c r="O150" s="485"/>
      <c r="P150" s="485"/>
      <c r="S150" s="126"/>
      <c r="T150" s="126" t="s">
        <v>382</v>
      </c>
      <c r="X150">
        <v>2</v>
      </c>
      <c r="Y150" s="126" t="s">
        <v>372</v>
      </c>
      <c r="Z150" s="21" t="e">
        <f t="shared" si="3"/>
        <v>#VALUE!</v>
      </c>
      <c r="AA150" s="126"/>
    </row>
    <row r="151" spans="3:28" x14ac:dyDescent="0.2">
      <c r="C151" s="240"/>
      <c r="D151" s="221"/>
      <c r="E151" s="221"/>
      <c r="F151" s="355" t="str">
        <f>IF($G$95="","",'Avaliação Física 1'!AO31)</f>
        <v/>
      </c>
      <c r="G151" s="355"/>
      <c r="H151" s="355"/>
      <c r="I151" s="278"/>
      <c r="J151" s="484"/>
      <c r="K151" s="485"/>
      <c r="L151" s="485"/>
      <c r="M151" s="485"/>
      <c r="N151" s="485"/>
      <c r="O151" s="485"/>
      <c r="P151" s="485"/>
      <c r="S151" s="75" t="s">
        <v>361</v>
      </c>
      <c r="T151" s="213" t="str">
        <f>F99</f>
        <v>-</v>
      </c>
      <c r="X151">
        <v>3</v>
      </c>
      <c r="Y151" s="126" t="s">
        <v>373</v>
      </c>
      <c r="Z151" s="21" t="e">
        <f t="shared" si="3"/>
        <v>#VALUE!</v>
      </c>
      <c r="AA151" s="126"/>
      <c r="AB151" t="e">
        <f>VLOOKUP($E$75,tbGC[nome],1,FALSE)</f>
        <v>#N/A</v>
      </c>
    </row>
    <row r="152" spans="3:28" x14ac:dyDescent="0.2">
      <c r="C152" s="240"/>
      <c r="D152" s="221"/>
      <c r="E152" s="221"/>
      <c r="F152" s="355" t="str">
        <f>IF($G$95="","",'Avaliação Física 1'!AO32)</f>
        <v/>
      </c>
      <c r="G152" s="355"/>
      <c r="H152" s="355"/>
      <c r="I152" s="278"/>
      <c r="J152" s="484"/>
      <c r="K152" s="485"/>
      <c r="L152" s="485"/>
      <c r="M152" s="485"/>
      <c r="N152" s="485"/>
      <c r="O152" s="485"/>
      <c r="P152" s="485"/>
      <c r="S152" s="75" t="s">
        <v>363</v>
      </c>
      <c r="T152" s="213" t="str">
        <f t="shared" ref="T152" si="4">F101</f>
        <v>-</v>
      </c>
      <c r="X152">
        <v>4</v>
      </c>
      <c r="Y152" s="126" t="s">
        <v>265</v>
      </c>
      <c r="Z152" s="21" t="e">
        <f t="shared" si="3"/>
        <v>#NUM!</v>
      </c>
      <c r="AA152" s="126"/>
    </row>
    <row r="153" spans="3:28" x14ac:dyDescent="0.2">
      <c r="C153" s="240"/>
      <c r="D153" s="221"/>
      <c r="E153" s="221"/>
      <c r="F153" s="355" t="str">
        <f>IF($G$95="","",'Avaliação Física 1'!AO33)</f>
        <v/>
      </c>
      <c r="G153" s="355"/>
      <c r="H153" s="355"/>
      <c r="I153" s="278"/>
      <c r="J153" s="484"/>
      <c r="K153" s="485"/>
      <c r="L153" s="485"/>
      <c r="M153" s="485"/>
      <c r="N153" s="485"/>
      <c r="O153" s="485"/>
      <c r="P153" s="485"/>
      <c r="S153" s="75" t="s">
        <v>364</v>
      </c>
      <c r="T153" s="213" t="str">
        <f>J98</f>
        <v>-</v>
      </c>
      <c r="X153">
        <v>5</v>
      </c>
      <c r="Y153" s="126" t="s">
        <v>374</v>
      </c>
      <c r="Z153" s="21">
        <f t="shared" si="3"/>
        <v>1</v>
      </c>
    </row>
    <row r="154" spans="3:28" x14ac:dyDescent="0.2">
      <c r="C154" s="240"/>
      <c r="D154" s="221"/>
      <c r="E154" s="221"/>
      <c r="F154" s="355" t="str">
        <f>IF($G$95="","",'Avaliação Física 1'!AO34)</f>
        <v/>
      </c>
      <c r="G154" s="355"/>
      <c r="H154" s="355"/>
      <c r="I154" s="278"/>
      <c r="J154" s="484"/>
      <c r="K154" s="485"/>
      <c r="L154" s="485"/>
      <c r="M154" s="485"/>
      <c r="N154" s="485"/>
      <c r="O154" s="485"/>
      <c r="P154" s="485"/>
      <c r="S154" s="75" t="s">
        <v>365</v>
      </c>
      <c r="T154" s="213" t="str">
        <f>J99</f>
        <v>-</v>
      </c>
      <c r="X154">
        <v>6</v>
      </c>
      <c r="Y154" s="126" t="s">
        <v>375</v>
      </c>
      <c r="Z154" s="21" t="e">
        <f t="shared" si="3"/>
        <v>#VALUE!</v>
      </c>
    </row>
    <row r="155" spans="3:28" x14ac:dyDescent="0.2">
      <c r="C155" s="240"/>
      <c r="D155" s="221"/>
      <c r="E155" s="221"/>
      <c r="F155" s="355" t="str">
        <f>IF($G$95="","",'Avaliação Física 1'!AO35)</f>
        <v/>
      </c>
      <c r="G155" s="355"/>
      <c r="H155" s="355"/>
      <c r="I155" s="278"/>
      <c r="J155" s="484"/>
      <c r="K155" s="485"/>
      <c r="L155" s="485"/>
      <c r="M155" s="485"/>
      <c r="N155" s="485"/>
      <c r="O155" s="485"/>
      <c r="P155" s="485"/>
      <c r="X155">
        <v>7</v>
      </c>
      <c r="Y155" s="126" t="s">
        <v>376</v>
      </c>
      <c r="Z155" s="21">
        <f t="shared" si="3"/>
        <v>10.833600000000001</v>
      </c>
    </row>
    <row r="156" spans="3:28" x14ac:dyDescent="0.2">
      <c r="C156" s="240"/>
      <c r="D156" s="221"/>
      <c r="E156" s="221"/>
      <c r="F156" s="355" t="str">
        <f>IF($G$95="","",'Avaliação Física 1'!AO36)</f>
        <v/>
      </c>
      <c r="G156" s="355"/>
      <c r="H156" s="355"/>
      <c r="I156" s="278"/>
      <c r="J156" s="484"/>
      <c r="K156" s="485"/>
      <c r="L156" s="485"/>
      <c r="M156" s="485"/>
      <c r="N156" s="485"/>
      <c r="O156" s="485"/>
      <c r="P156" s="485"/>
      <c r="X156">
        <v>8</v>
      </c>
      <c r="Y156" s="126" t="s">
        <v>384</v>
      </c>
      <c r="Z156" s="21" t="e">
        <f t="shared" si="3"/>
        <v>#NUM!</v>
      </c>
      <c r="AB156" s="21" t="e">
        <f>VLOOKUP($E$75,tbGC[[nome]:[resultado]],2,FALSE)</f>
        <v>#N/A</v>
      </c>
    </row>
    <row r="157" spans="3:28" x14ac:dyDescent="0.2">
      <c r="C157" s="240"/>
      <c r="D157" s="221"/>
      <c r="E157" s="221"/>
      <c r="F157" s="355" t="str">
        <f>IF($G$95="","",'Avaliação Física 1'!AO37)</f>
        <v/>
      </c>
      <c r="G157" s="355"/>
      <c r="H157" s="355"/>
      <c r="I157" s="278"/>
      <c r="J157" s="484"/>
      <c r="K157" s="485"/>
      <c r="L157" s="485"/>
      <c r="M157" s="485"/>
      <c r="N157" s="485"/>
      <c r="O157" s="485"/>
      <c r="P157" s="485"/>
      <c r="T157" t="s">
        <v>383</v>
      </c>
      <c r="X157">
        <v>9</v>
      </c>
      <c r="Y157" s="126" t="s">
        <v>387</v>
      </c>
      <c r="Z157" s="21" t="e">
        <f>AB96</f>
        <v>#VALUE!</v>
      </c>
    </row>
    <row r="158" spans="3:28" x14ac:dyDescent="0.2">
      <c r="C158" s="240"/>
      <c r="D158" s="221"/>
      <c r="E158" s="221"/>
      <c r="F158" s="355" t="str">
        <f>IF($G$95="","",'Avaliação Física 1'!AO38)</f>
        <v/>
      </c>
      <c r="G158" s="355"/>
      <c r="H158" s="355"/>
      <c r="I158" s="278"/>
      <c r="J158" s="484"/>
      <c r="K158" s="485"/>
      <c r="L158" s="485"/>
      <c r="M158" s="485"/>
      <c r="N158" s="485"/>
      <c r="O158" s="485"/>
      <c r="P158" s="485"/>
      <c r="S158" s="75" t="s">
        <v>381</v>
      </c>
      <c r="T158" s="266">
        <f>F72</f>
        <v>0</v>
      </c>
    </row>
    <row r="159" spans="3:28" x14ac:dyDescent="0.2">
      <c r="C159" s="240"/>
      <c r="D159" s="221"/>
      <c r="E159" s="221"/>
      <c r="F159" s="355" t="str">
        <f>IF($G$95="","",'Avaliação Física 1'!AO39)</f>
        <v/>
      </c>
      <c r="G159" s="355"/>
      <c r="H159" s="355"/>
      <c r="I159" s="278"/>
      <c r="J159" s="484"/>
      <c r="K159" s="485"/>
      <c r="L159" s="485"/>
      <c r="M159" s="485"/>
      <c r="N159" s="485"/>
      <c r="O159" s="485"/>
      <c r="P159" s="485"/>
      <c r="S159" t="s">
        <v>120</v>
      </c>
      <c r="T159" s="265" t="str">
        <f>F98</f>
        <v>-</v>
      </c>
    </row>
    <row r="160" spans="3:28" x14ac:dyDescent="0.2">
      <c r="C160" s="240"/>
      <c r="D160" s="221"/>
      <c r="E160" s="221"/>
      <c r="F160" s="355" t="str">
        <f>IF($G$95="","",'Avaliação Física 1'!AO40)</f>
        <v/>
      </c>
      <c r="G160" s="355"/>
      <c r="H160" s="355"/>
      <c r="I160" s="278"/>
      <c r="J160" s="484"/>
      <c r="K160" s="485"/>
      <c r="L160" s="485"/>
      <c r="M160" s="485"/>
      <c r="N160" s="485"/>
      <c r="O160" s="485"/>
      <c r="P160" s="485"/>
      <c r="S160" s="75" t="s">
        <v>362</v>
      </c>
      <c r="T160" s="266" t="str">
        <f>F100</f>
        <v>-</v>
      </c>
      <c r="AB160" t="e">
        <f>VLOOKUP($E$75,tbGC[[nome]:[resultado]],2,FALSE)</f>
        <v>#N/A</v>
      </c>
    </row>
    <row r="161" spans="3:153" x14ac:dyDescent="0.2">
      <c r="C161" s="240"/>
      <c r="D161" s="221"/>
      <c r="E161" s="221"/>
      <c r="F161" s="355" t="str">
        <f>IF($G$95="","",'Avaliação Física 1'!AO41)</f>
        <v/>
      </c>
      <c r="G161" s="355"/>
      <c r="H161" s="355"/>
      <c r="I161" s="278"/>
      <c r="J161" s="484"/>
      <c r="K161" s="485"/>
      <c r="L161" s="485"/>
      <c r="M161" s="485"/>
      <c r="N161" s="485"/>
      <c r="O161" s="485"/>
      <c r="P161" s="485"/>
    </row>
    <row r="162" spans="3:153" x14ac:dyDescent="0.2">
      <c r="C162" s="240"/>
      <c r="D162" s="221"/>
      <c r="E162" s="221"/>
      <c r="F162" s="355" t="str">
        <f>IF($G$95="","",'Avaliação Física 1'!AO42)</f>
        <v/>
      </c>
      <c r="G162" s="355"/>
      <c r="H162" s="355"/>
      <c r="I162" s="278"/>
      <c r="J162" s="484"/>
      <c r="K162" s="485"/>
      <c r="L162" s="485"/>
      <c r="M162" s="485"/>
      <c r="N162" s="485"/>
      <c r="O162" s="485"/>
      <c r="P162" s="485"/>
    </row>
    <row r="163" spans="3:153" x14ac:dyDescent="0.2">
      <c r="C163" s="241"/>
      <c r="D163" s="279"/>
      <c r="E163" s="279"/>
      <c r="F163" s="279"/>
      <c r="G163" s="279"/>
      <c r="H163" s="279"/>
      <c r="I163" s="280"/>
      <c r="J163" s="484"/>
      <c r="K163" s="485"/>
      <c r="L163" s="485"/>
      <c r="M163" s="485"/>
      <c r="N163" s="485"/>
      <c r="O163" s="485"/>
      <c r="P163" s="485"/>
      <c r="W163" s="214" t="s">
        <v>369</v>
      </c>
    </row>
    <row r="164" spans="3:153" ht="14.45" hidden="1" customHeight="1" x14ac:dyDescent="0.2">
      <c r="C164" s="55"/>
      <c r="D164" s="56"/>
      <c r="E164" s="56"/>
      <c r="F164" s="56"/>
      <c r="G164" s="56"/>
      <c r="H164" s="56"/>
      <c r="I164" s="57"/>
      <c r="J164" s="105"/>
      <c r="K164" s="105"/>
      <c r="L164" s="105"/>
      <c r="M164" s="105"/>
      <c r="N164" s="105"/>
      <c r="O164" s="105"/>
      <c r="P164" s="105"/>
      <c r="Z164" t="s">
        <v>371</v>
      </c>
    </row>
    <row r="165" spans="3:153" ht="4.1500000000000004" customHeight="1" x14ac:dyDescent="0.2">
      <c r="J165" s="105"/>
      <c r="K165" s="105"/>
      <c r="L165" s="105"/>
      <c r="M165" s="105"/>
      <c r="N165" s="105"/>
      <c r="O165" s="105"/>
      <c r="P165" s="105"/>
    </row>
    <row r="166" spans="3:153" ht="4.1500000000000004" hidden="1" customHeight="1" x14ac:dyDescent="0.2">
      <c r="J166" s="105"/>
      <c r="K166" s="105"/>
      <c r="L166" s="105"/>
      <c r="M166" s="105"/>
      <c r="N166" s="105"/>
      <c r="O166" s="105"/>
      <c r="P166" s="105"/>
    </row>
    <row r="167" spans="3:153" ht="4.1500000000000004" hidden="1" customHeight="1" x14ac:dyDescent="0.2">
      <c r="J167" s="105"/>
      <c r="K167" s="105"/>
      <c r="L167" s="105"/>
      <c r="M167" s="105"/>
      <c r="N167" s="105"/>
      <c r="O167" s="105"/>
      <c r="P167" s="105"/>
      <c r="Z167" t="s">
        <v>371</v>
      </c>
    </row>
    <row r="168" spans="3:153" x14ac:dyDescent="0.2">
      <c r="C168" s="362" t="s">
        <v>204</v>
      </c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W168">
        <f>IF(L9="Feminino",1.33*(F78+F77)-0.13*(F78+F77)^2-2.5,0.735*(F78+N79)+1)</f>
        <v>1</v>
      </c>
    </row>
    <row r="169" spans="3:153" ht="6" customHeight="1" x14ac:dyDescent="0.3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Z169" s="21">
        <f>((4.95/W168)-4.5)*100</f>
        <v>45.000000000000014</v>
      </c>
    </row>
    <row r="170" spans="3:153" x14ac:dyDescent="0.2">
      <c r="C170" s="238"/>
      <c r="D170" s="357" t="s">
        <v>125</v>
      </c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02"/>
    </row>
    <row r="171" spans="3:153" x14ac:dyDescent="0.2">
      <c r="C171" s="240"/>
      <c r="D171" s="221" t="s">
        <v>106</v>
      </c>
      <c r="E171" s="260"/>
      <c r="F171" s="221"/>
      <c r="G171" s="260"/>
      <c r="H171" s="221"/>
      <c r="I171" s="260"/>
      <c r="J171" s="221"/>
      <c r="K171" s="354" t="s">
        <v>57</v>
      </c>
      <c r="L171" s="354"/>
      <c r="M171" s="262"/>
      <c r="N171" s="354" t="s">
        <v>58</v>
      </c>
      <c r="O171" s="354"/>
      <c r="P171" s="278"/>
    </row>
    <row r="172" spans="3:153" s="5" customFormat="1" ht="7.15" customHeight="1" x14ac:dyDescent="0.2">
      <c r="C172" s="240"/>
      <c r="D172" s="221"/>
      <c r="E172" s="260"/>
      <c r="F172" s="221"/>
      <c r="G172" s="260"/>
      <c r="H172" s="221"/>
      <c r="I172" s="260"/>
      <c r="J172" s="221"/>
      <c r="K172" s="221"/>
      <c r="L172" s="221"/>
      <c r="M172" s="221"/>
      <c r="N172" s="221"/>
      <c r="O172" s="221"/>
      <c r="P172" s="278"/>
      <c r="X172"/>
      <c r="Y172"/>
      <c r="Z172"/>
      <c r="AE172" s="7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 s="79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 s="79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 s="79"/>
    </row>
    <row r="173" spans="3:153" x14ac:dyDescent="0.2">
      <c r="C173" s="240"/>
      <c r="D173" s="221" t="s">
        <v>103</v>
      </c>
      <c r="E173" s="260"/>
      <c r="F173" s="221"/>
      <c r="G173" s="260"/>
      <c r="H173" s="221"/>
      <c r="I173" s="260"/>
      <c r="J173" s="221"/>
      <c r="K173" s="221"/>
      <c r="L173" s="221"/>
      <c r="M173" s="221"/>
      <c r="N173" s="221"/>
      <c r="O173" s="221"/>
      <c r="P173" s="278"/>
      <c r="Z173" s="5"/>
    </row>
    <row r="174" spans="3:153" s="5" customFormat="1" ht="7.15" customHeight="1" x14ac:dyDescent="0.2">
      <c r="C174" s="240"/>
      <c r="D174" s="221"/>
      <c r="E174" s="260"/>
      <c r="F174" s="221"/>
      <c r="G174" s="260"/>
      <c r="H174" s="221"/>
      <c r="I174" s="260"/>
      <c r="J174" s="221"/>
      <c r="K174" s="221"/>
      <c r="L174" s="221"/>
      <c r="M174" s="221"/>
      <c r="N174" s="221"/>
      <c r="O174" s="221"/>
      <c r="P174" s="278"/>
      <c r="X174"/>
      <c r="Y174"/>
      <c r="Z174"/>
      <c r="AE174" s="79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 s="79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 s="79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 s="79"/>
    </row>
    <row r="175" spans="3:153" x14ac:dyDescent="0.2">
      <c r="C175" s="240"/>
      <c r="D175" s="221" t="s">
        <v>229</v>
      </c>
      <c r="E175" s="260"/>
      <c r="F175" s="221"/>
      <c r="G175" s="260"/>
      <c r="H175" s="221"/>
      <c r="I175" s="260"/>
      <c r="J175" s="221"/>
      <c r="K175" s="221"/>
      <c r="L175" s="221"/>
      <c r="M175" s="221"/>
      <c r="N175" s="221"/>
      <c r="O175" s="221"/>
      <c r="P175" s="278"/>
      <c r="W175" s="214" t="s">
        <v>370</v>
      </c>
      <c r="AA175" t="s">
        <v>371</v>
      </c>
    </row>
    <row r="176" spans="3:153" s="5" customFormat="1" ht="7.15" customHeight="1" x14ac:dyDescent="0.2">
      <c r="C176" s="240"/>
      <c r="D176" s="221"/>
      <c r="E176" s="260"/>
      <c r="F176" s="221"/>
      <c r="G176" s="260"/>
      <c r="H176" s="221"/>
      <c r="I176" s="260"/>
      <c r="J176" s="221"/>
      <c r="K176" s="221"/>
      <c r="L176" s="221"/>
      <c r="M176" s="221"/>
      <c r="N176" s="221"/>
      <c r="O176" s="221"/>
      <c r="P176" s="278"/>
      <c r="AE176" s="7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 s="79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 s="79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 s="79"/>
    </row>
    <row r="177" spans="1:153" x14ac:dyDescent="0.2">
      <c r="C177" s="240"/>
      <c r="D177" s="221" t="s">
        <v>105</v>
      </c>
      <c r="E177" s="260"/>
      <c r="F177" s="221"/>
      <c r="G177" s="260"/>
      <c r="H177" s="221"/>
      <c r="I177" s="260"/>
      <c r="J177" s="221"/>
      <c r="K177" s="221"/>
      <c r="L177" s="221"/>
      <c r="M177" s="221"/>
      <c r="N177" s="221"/>
      <c r="O177" s="221"/>
      <c r="P177" s="278"/>
      <c r="W177" s="215" t="e">
        <f>IF(L9="Feminino",1.1567-0.0717*LOG10(F78+F79+F77+J79),1.1765 - 0.0744*LOG10(F78+F79+F77+J79))</f>
        <v>#NUM!</v>
      </c>
      <c r="AA177" s="21" t="e">
        <f>((4.95/W177)-4.5)*100</f>
        <v>#NUM!</v>
      </c>
    </row>
    <row r="178" spans="1:153" s="5" customFormat="1" ht="7.15" customHeight="1" x14ac:dyDescent="0.2">
      <c r="C178" s="240"/>
      <c r="D178" s="221"/>
      <c r="E178" s="260"/>
      <c r="F178" s="221"/>
      <c r="G178" s="260"/>
      <c r="H178" s="221"/>
      <c r="I178" s="260"/>
      <c r="J178" s="221"/>
      <c r="K178" s="221"/>
      <c r="L178" s="221"/>
      <c r="M178" s="221"/>
      <c r="N178" s="221"/>
      <c r="O178" s="221"/>
      <c r="P178" s="278"/>
      <c r="AE178" s="79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 s="79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 s="79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 s="79"/>
    </row>
    <row r="179" spans="1:153" x14ac:dyDescent="0.2">
      <c r="C179" s="240"/>
      <c r="D179" s="221" t="s">
        <v>104</v>
      </c>
      <c r="E179" s="260"/>
      <c r="F179" s="221"/>
      <c r="G179" s="260"/>
      <c r="H179" s="221"/>
      <c r="I179" s="260"/>
      <c r="J179" s="221"/>
      <c r="K179" s="221"/>
      <c r="L179" s="221"/>
      <c r="M179" s="221"/>
      <c r="N179" s="221"/>
      <c r="O179" s="221"/>
      <c r="P179" s="278"/>
    </row>
    <row r="180" spans="1:153" s="5" customFormat="1" ht="7.15" customHeight="1" x14ac:dyDescent="0.2">
      <c r="C180" s="240"/>
      <c r="D180" s="221"/>
      <c r="E180" s="260"/>
      <c r="F180" s="221"/>
      <c r="G180" s="260"/>
      <c r="H180" s="221"/>
      <c r="I180" s="260"/>
      <c r="J180" s="221"/>
      <c r="K180" s="221"/>
      <c r="L180" s="221"/>
      <c r="M180" s="221"/>
      <c r="N180" s="221"/>
      <c r="O180" s="221"/>
      <c r="P180" s="278"/>
      <c r="AE180" s="79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 s="79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 s="79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 s="79"/>
    </row>
    <row r="181" spans="1:153" x14ac:dyDescent="0.2">
      <c r="C181" s="240"/>
      <c r="D181" s="221" t="s">
        <v>52</v>
      </c>
      <c r="E181" s="260"/>
      <c r="F181" s="221"/>
      <c r="G181" s="260"/>
      <c r="H181" s="221"/>
      <c r="I181" s="260"/>
      <c r="J181" s="221"/>
      <c r="K181" s="221"/>
      <c r="L181" s="221"/>
      <c r="M181" s="221"/>
      <c r="N181" s="221"/>
      <c r="O181" s="221"/>
      <c r="P181" s="278"/>
      <c r="X181" s="215"/>
    </row>
    <row r="182" spans="1:153" s="5" customFormat="1" ht="7.15" customHeight="1" x14ac:dyDescent="0.2">
      <c r="C182" s="240"/>
      <c r="D182" s="221"/>
      <c r="E182" s="260"/>
      <c r="F182" s="221"/>
      <c r="G182" s="260"/>
      <c r="H182" s="221"/>
      <c r="I182" s="260"/>
      <c r="J182" s="221"/>
      <c r="K182" s="221"/>
      <c r="L182" s="221"/>
      <c r="M182" s="221"/>
      <c r="N182" s="221"/>
      <c r="O182" s="221"/>
      <c r="P182" s="278"/>
      <c r="AE182" s="7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 s="79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 s="79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 s="79"/>
    </row>
    <row r="183" spans="1:153" x14ac:dyDescent="0.2">
      <c r="C183" s="240"/>
      <c r="D183" s="221" t="s">
        <v>107</v>
      </c>
      <c r="E183" s="260"/>
      <c r="F183" s="221"/>
      <c r="G183" s="260"/>
      <c r="H183" s="221"/>
      <c r="I183" s="260"/>
      <c r="J183" s="221"/>
      <c r="K183" s="221"/>
      <c r="L183" s="221"/>
      <c r="M183" s="221"/>
      <c r="N183" s="221"/>
      <c r="O183" s="221"/>
      <c r="P183" s="278"/>
    </row>
    <row r="184" spans="1:153" ht="7.15" customHeight="1" x14ac:dyDescent="0.2">
      <c r="C184" s="240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78"/>
      <c r="X184" s="5"/>
      <c r="Y184" s="5"/>
      <c r="Z184" s="5"/>
    </row>
    <row r="185" spans="1:153" x14ac:dyDescent="0.2">
      <c r="C185" s="240"/>
      <c r="D185" s="221" t="s">
        <v>110</v>
      </c>
      <c r="E185" s="260"/>
      <c r="F185" s="221"/>
      <c r="G185" s="260"/>
      <c r="H185" s="221"/>
      <c r="I185" s="260"/>
      <c r="J185" s="221"/>
      <c r="K185" s="221"/>
      <c r="L185" s="221"/>
      <c r="M185" s="221"/>
      <c r="N185" s="221"/>
      <c r="O185" s="221"/>
      <c r="P185" s="278"/>
    </row>
    <row r="186" spans="1:153" x14ac:dyDescent="0.2">
      <c r="C186" s="240"/>
      <c r="D186" s="221"/>
      <c r="E186" s="260"/>
      <c r="F186" s="221"/>
      <c r="G186" s="260"/>
      <c r="H186" s="221"/>
      <c r="I186" s="260"/>
      <c r="J186" s="221"/>
      <c r="K186" s="221"/>
      <c r="L186" s="221"/>
      <c r="M186" s="221"/>
      <c r="N186" s="221"/>
      <c r="O186" s="221"/>
      <c r="P186" s="278"/>
      <c r="X186" s="5"/>
      <c r="Y186" s="5"/>
      <c r="Z186" s="5"/>
    </row>
    <row r="187" spans="1:153" s="5" customFormat="1" ht="11.45" customHeight="1" x14ac:dyDescent="0.2">
      <c r="C187" s="240"/>
      <c r="D187" s="221"/>
      <c r="E187" s="260"/>
      <c r="F187" s="221"/>
      <c r="G187" s="260"/>
      <c r="H187" s="221"/>
      <c r="I187" s="260"/>
      <c r="J187" s="221"/>
      <c r="K187" s="221"/>
      <c r="L187" s="221"/>
      <c r="M187" s="221"/>
      <c r="N187" s="221"/>
      <c r="O187" s="221"/>
      <c r="P187" s="278"/>
      <c r="X187"/>
      <c r="Y187"/>
      <c r="Z187"/>
      <c r="AE187" s="79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 s="79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 s="79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s="79"/>
    </row>
    <row r="188" spans="1:153" x14ac:dyDescent="0.2">
      <c r="C188" s="240"/>
      <c r="D188" s="356" t="s">
        <v>124</v>
      </c>
      <c r="E188" s="356"/>
      <c r="F188" s="356"/>
      <c r="G188" s="356"/>
      <c r="H188" s="356"/>
      <c r="I188" s="261"/>
      <c r="J188" s="356" t="s">
        <v>123</v>
      </c>
      <c r="K188" s="356"/>
      <c r="L188" s="356"/>
      <c r="M188" s="356"/>
      <c r="N188" s="356"/>
      <c r="O188" s="356"/>
      <c r="P188" s="303"/>
    </row>
    <row r="189" spans="1:153" x14ac:dyDescent="0.2">
      <c r="A189" s="227"/>
      <c r="B189" s="227"/>
      <c r="C189" s="240"/>
      <c r="D189" s="221" t="s">
        <v>50</v>
      </c>
      <c r="E189" s="260"/>
      <c r="F189" s="221"/>
      <c r="G189" s="260"/>
      <c r="H189" s="221"/>
      <c r="I189" s="260"/>
      <c r="J189" s="221" t="s">
        <v>379</v>
      </c>
      <c r="K189" s="260"/>
      <c r="L189" s="221"/>
      <c r="M189" s="221"/>
      <c r="N189" s="355"/>
      <c r="O189" s="355"/>
      <c r="P189" s="278"/>
    </row>
    <row r="190" spans="1:153" s="5" customFormat="1" ht="14.45" customHeight="1" x14ac:dyDescent="0.2">
      <c r="A190" s="227"/>
      <c r="B190" s="227"/>
      <c r="C190" s="240"/>
      <c r="D190" s="221"/>
      <c r="E190" s="260"/>
      <c r="F190" s="221"/>
      <c r="G190" s="260"/>
      <c r="H190" s="221"/>
      <c r="I190" s="260"/>
      <c r="J190" s="221"/>
      <c r="K190" s="260"/>
      <c r="L190" s="221"/>
      <c r="M190" s="221"/>
      <c r="N190" s="221"/>
      <c r="O190" s="221"/>
      <c r="P190" s="278"/>
      <c r="X190"/>
      <c r="Y190"/>
      <c r="Z190"/>
      <c r="AE190" s="79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 s="79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 s="79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 s="79"/>
    </row>
    <row r="191" spans="1:153" x14ac:dyDescent="0.2">
      <c r="A191" s="227"/>
      <c r="B191" s="227"/>
      <c r="C191" s="240"/>
      <c r="D191" s="221"/>
      <c r="E191" s="260"/>
      <c r="F191" s="221"/>
      <c r="G191" s="260"/>
      <c r="H191" s="221"/>
      <c r="I191" s="260"/>
      <c r="J191" s="221"/>
      <c r="K191" s="260"/>
      <c r="L191" s="221"/>
      <c r="M191" s="221"/>
      <c r="N191" s="221"/>
      <c r="O191" s="221"/>
      <c r="P191" s="278"/>
      <c r="X191" s="5"/>
      <c r="Y191" s="5"/>
      <c r="Z191" s="5"/>
    </row>
    <row r="192" spans="1:153" s="5" customFormat="1" ht="7.15" customHeight="1" x14ac:dyDescent="0.2">
      <c r="A192" s="227"/>
      <c r="B192" s="227"/>
      <c r="C192" s="240"/>
      <c r="D192" s="221"/>
      <c r="E192" s="260"/>
      <c r="F192" s="221"/>
      <c r="G192" s="260"/>
      <c r="H192" s="221"/>
      <c r="I192" s="260"/>
      <c r="J192" s="221"/>
      <c r="K192" s="221"/>
      <c r="L192" s="221"/>
      <c r="M192" s="221"/>
      <c r="N192" s="221"/>
      <c r="O192" s="221"/>
      <c r="P192" s="278"/>
      <c r="X192"/>
      <c r="Y192"/>
      <c r="Z192"/>
      <c r="AE192" s="79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 s="79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 s="79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s="79"/>
    </row>
    <row r="193" spans="1:153" x14ac:dyDescent="0.2">
      <c r="A193" s="227"/>
      <c r="B193" s="227"/>
      <c r="C193" s="240"/>
      <c r="D193" s="221" t="s">
        <v>109</v>
      </c>
      <c r="E193" s="221"/>
      <c r="F193" s="221"/>
      <c r="G193" s="260"/>
      <c r="H193" s="221"/>
      <c r="I193" s="260"/>
      <c r="J193" s="221" t="s">
        <v>114</v>
      </c>
      <c r="K193" s="221"/>
      <c r="L193" s="221"/>
      <c r="M193" s="221"/>
      <c r="N193" s="221"/>
      <c r="O193" s="221"/>
      <c r="P193" s="278"/>
    </row>
    <row r="194" spans="1:153" x14ac:dyDescent="0.2">
      <c r="A194" s="227"/>
      <c r="B194" s="227"/>
      <c r="C194" s="240"/>
      <c r="D194" s="221"/>
      <c r="E194" s="260"/>
      <c r="F194" s="221"/>
      <c r="G194" s="260"/>
      <c r="H194" s="221"/>
      <c r="I194" s="260"/>
      <c r="J194" s="221"/>
      <c r="K194" s="221"/>
      <c r="L194" s="221"/>
      <c r="M194" s="221"/>
      <c r="N194" s="221"/>
      <c r="O194" s="221"/>
      <c r="P194" s="278"/>
      <c r="X194" s="5"/>
      <c r="Y194" s="5"/>
      <c r="Z194" s="5"/>
    </row>
    <row r="195" spans="1:153" s="5" customFormat="1" ht="14.45" customHeight="1" x14ac:dyDescent="0.2">
      <c r="A195" s="227"/>
      <c r="B195" s="227"/>
      <c r="C195" s="240"/>
      <c r="D195" s="221"/>
      <c r="E195" s="221"/>
      <c r="F195" s="221"/>
      <c r="G195" s="260"/>
      <c r="H195" s="221"/>
      <c r="I195" s="260"/>
      <c r="J195" s="221"/>
      <c r="K195" s="221"/>
      <c r="L195" s="221"/>
      <c r="M195" s="221"/>
      <c r="N195" s="221"/>
      <c r="O195" s="221"/>
      <c r="P195" s="278"/>
      <c r="X195"/>
      <c r="Y195"/>
      <c r="Z195"/>
      <c r="AE195" s="79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 s="79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 s="79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s="79"/>
    </row>
    <row r="196" spans="1:153" ht="14.45" customHeight="1" x14ac:dyDescent="0.2">
      <c r="A196" s="227"/>
      <c r="B196" s="227"/>
      <c r="C196" s="240"/>
      <c r="D196" s="221"/>
      <c r="E196" s="221"/>
      <c r="F196" s="221"/>
      <c r="G196" s="260"/>
      <c r="H196" s="221"/>
      <c r="I196" s="260"/>
      <c r="J196" s="221"/>
      <c r="K196" s="221"/>
      <c r="L196" s="221"/>
      <c r="M196" s="221"/>
      <c r="N196" s="221"/>
      <c r="O196" s="221"/>
      <c r="P196" s="278"/>
      <c r="X196" s="5"/>
      <c r="Y196" s="5"/>
      <c r="Z196" s="5"/>
    </row>
    <row r="197" spans="1:153" s="5" customFormat="1" ht="7.15" customHeight="1" x14ac:dyDescent="0.2">
      <c r="A197" s="227"/>
      <c r="B197" s="227"/>
      <c r="C197" s="240"/>
      <c r="D197" s="221"/>
      <c r="E197" s="260"/>
      <c r="F197" s="221"/>
      <c r="G197" s="260"/>
      <c r="H197" s="221"/>
      <c r="I197" s="260"/>
      <c r="J197" s="221"/>
      <c r="K197" s="221"/>
      <c r="L197" s="221"/>
      <c r="M197" s="221"/>
      <c r="N197" s="221"/>
      <c r="O197" s="221"/>
      <c r="P197" s="278"/>
      <c r="X197"/>
      <c r="Y197"/>
      <c r="Z197"/>
      <c r="AE197" s="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 s="79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 s="79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s="79"/>
    </row>
    <row r="198" spans="1:153" x14ac:dyDescent="0.2">
      <c r="C198" s="240"/>
      <c r="D198" s="221" t="s">
        <v>108</v>
      </c>
      <c r="E198" s="221"/>
      <c r="F198" s="221"/>
      <c r="G198" s="260"/>
      <c r="H198" s="221"/>
      <c r="I198" s="260"/>
      <c r="J198" s="221" t="s">
        <v>112</v>
      </c>
      <c r="K198" s="221"/>
      <c r="L198" s="221"/>
      <c r="M198" s="221"/>
      <c r="N198" s="221"/>
      <c r="O198" s="221"/>
      <c r="P198" s="278"/>
    </row>
    <row r="199" spans="1:153" ht="14.45" customHeight="1" x14ac:dyDescent="0.2">
      <c r="C199" s="240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78"/>
      <c r="X199" s="5"/>
      <c r="Y199" s="5"/>
      <c r="Z199" s="5"/>
    </row>
    <row r="200" spans="1:153" x14ac:dyDescent="0.2">
      <c r="C200" s="240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78"/>
    </row>
    <row r="201" spans="1:153" ht="7.15" customHeight="1" x14ac:dyDescent="0.2">
      <c r="C201" s="240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78"/>
      <c r="X201" s="5"/>
      <c r="Y201" s="5"/>
      <c r="Z201" s="5"/>
    </row>
    <row r="202" spans="1:153" hidden="1" x14ac:dyDescent="0.2">
      <c r="C202" s="240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78"/>
    </row>
    <row r="203" spans="1:153" ht="7.15" hidden="1" customHeight="1" x14ac:dyDescent="0.2">
      <c r="C203" s="240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78"/>
    </row>
    <row r="204" spans="1:153" x14ac:dyDescent="0.2">
      <c r="C204" s="240"/>
      <c r="D204" s="221" t="s">
        <v>115</v>
      </c>
      <c r="E204" s="221"/>
      <c r="F204" s="221"/>
      <c r="G204" s="221"/>
      <c r="H204" s="221"/>
      <c r="I204" s="221"/>
      <c r="J204" s="221" t="s">
        <v>113</v>
      </c>
      <c r="K204" s="221"/>
      <c r="L204" s="221"/>
      <c r="M204" s="221"/>
      <c r="N204" s="221"/>
      <c r="O204" s="221"/>
      <c r="P204" s="278"/>
    </row>
    <row r="205" spans="1:153" x14ac:dyDescent="0.2">
      <c r="B205" s="227"/>
      <c r="C205" s="240"/>
      <c r="D205" s="221"/>
      <c r="E205" s="260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78"/>
    </row>
    <row r="206" spans="1:153" ht="14.45" customHeight="1" x14ac:dyDescent="0.2">
      <c r="C206" s="240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78"/>
    </row>
    <row r="207" spans="1:153" ht="7.15" customHeight="1" x14ac:dyDescent="0.2">
      <c r="C207" s="240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303"/>
    </row>
    <row r="208" spans="1:153" x14ac:dyDescent="0.2">
      <c r="A208" s="227"/>
      <c r="B208" s="227"/>
      <c r="C208" s="240"/>
      <c r="D208" s="221" t="s">
        <v>111</v>
      </c>
      <c r="E208" s="260"/>
      <c r="F208" s="221"/>
      <c r="G208" s="260"/>
      <c r="H208" s="221"/>
      <c r="I208" s="260"/>
      <c r="J208" s="221"/>
      <c r="K208" s="221"/>
      <c r="L208" s="221"/>
      <c r="M208" s="221"/>
      <c r="N208" s="221"/>
      <c r="O208" s="221"/>
      <c r="P208" s="278"/>
    </row>
    <row r="209" spans="1:153" s="5" customFormat="1" ht="14.45" customHeight="1" x14ac:dyDescent="0.2">
      <c r="A209" s="227"/>
      <c r="B209" s="227"/>
      <c r="C209" s="240"/>
      <c r="D209" s="221"/>
      <c r="E209" s="260"/>
      <c r="F209" s="221"/>
      <c r="G209" s="260"/>
      <c r="H209" s="221"/>
      <c r="I209" s="260"/>
      <c r="J209" s="221"/>
      <c r="K209" s="221"/>
      <c r="L209" s="221"/>
      <c r="M209" s="221"/>
      <c r="N209" s="221"/>
      <c r="O209" s="221"/>
      <c r="P209" s="278"/>
      <c r="X209"/>
      <c r="Y209"/>
      <c r="Z209"/>
      <c r="AE209" s="7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 s="7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 s="7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 s="79"/>
    </row>
    <row r="210" spans="1:153" ht="7.15" customHeight="1" x14ac:dyDescent="0.2">
      <c r="A210" s="227"/>
      <c r="B210" s="227"/>
      <c r="C210" s="240"/>
      <c r="D210" s="221"/>
      <c r="E210" s="260"/>
      <c r="F210" s="221"/>
      <c r="G210" s="260"/>
      <c r="H210" s="221"/>
      <c r="I210" s="260"/>
      <c r="J210" s="221"/>
      <c r="K210" s="221"/>
      <c r="L210" s="221"/>
      <c r="M210" s="221"/>
      <c r="N210" s="221"/>
      <c r="O210" s="221"/>
      <c r="P210" s="278"/>
    </row>
    <row r="211" spans="1:153" s="5" customFormat="1" ht="14.45" customHeight="1" x14ac:dyDescent="0.2">
      <c r="A211" s="227"/>
      <c r="B211" s="227"/>
      <c r="C211" s="240"/>
      <c r="D211" s="221" t="s">
        <v>110</v>
      </c>
      <c r="E211" s="221"/>
      <c r="F211" s="221"/>
      <c r="G211" s="221"/>
      <c r="H211" s="221"/>
      <c r="I211" s="260"/>
      <c r="J211" s="221"/>
      <c r="K211" s="221"/>
      <c r="L211" s="221"/>
      <c r="M211" s="221"/>
      <c r="N211" s="221"/>
      <c r="O211" s="221"/>
      <c r="P211" s="278"/>
      <c r="X211"/>
      <c r="Y211"/>
      <c r="Z211"/>
      <c r="AE211" s="79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 s="79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 s="79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s="79"/>
    </row>
    <row r="212" spans="1:153" x14ac:dyDescent="0.2">
      <c r="A212" s="227"/>
      <c r="B212" s="227"/>
      <c r="C212" s="240"/>
      <c r="D212" s="221"/>
      <c r="E212" s="221"/>
      <c r="F212" s="221"/>
      <c r="G212" s="221"/>
      <c r="H212" s="221"/>
      <c r="I212" s="260"/>
      <c r="J212" s="221"/>
      <c r="K212" s="221"/>
      <c r="L212" s="221"/>
      <c r="M212" s="221"/>
      <c r="N212" s="221"/>
      <c r="O212" s="221"/>
      <c r="P212" s="278"/>
    </row>
    <row r="213" spans="1:153" s="5" customFormat="1" ht="7.15" customHeight="1" x14ac:dyDescent="0.2">
      <c r="A213" s="227"/>
      <c r="B213" s="227"/>
      <c r="C213" s="241"/>
      <c r="D213" s="279"/>
      <c r="E213" s="304"/>
      <c r="F213" s="279"/>
      <c r="G213" s="304"/>
      <c r="H213" s="279"/>
      <c r="I213" s="304"/>
      <c r="J213" s="279"/>
      <c r="K213" s="279"/>
      <c r="L213" s="279"/>
      <c r="M213" s="279"/>
      <c r="N213" s="279"/>
      <c r="O213" s="279"/>
      <c r="P213" s="280"/>
      <c r="AE213" s="79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 s="79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 s="79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 s="79"/>
    </row>
    <row r="214" spans="1:153" x14ac:dyDescent="0.2">
      <c r="A214" s="227"/>
      <c r="B214" s="227"/>
      <c r="C214" s="120"/>
      <c r="D214" s="106"/>
      <c r="E214" s="106"/>
      <c r="F214" s="106"/>
      <c r="G214" s="106"/>
      <c r="H214" s="106"/>
      <c r="I214" s="218"/>
      <c r="J214" s="106"/>
      <c r="K214" s="106"/>
      <c r="L214" s="106"/>
      <c r="M214" s="106"/>
      <c r="N214" s="106"/>
      <c r="O214" s="106"/>
      <c r="P214" s="106"/>
    </row>
    <row r="215" spans="1:153" hidden="1" x14ac:dyDescent="0.2"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X215" s="5"/>
      <c r="Y215" s="5"/>
      <c r="Z215" s="5"/>
    </row>
    <row r="216" spans="1:153" hidden="1" x14ac:dyDescent="0.2"/>
    <row r="217" spans="1:153" x14ac:dyDescent="0.2">
      <c r="C217" s="362" t="s">
        <v>378</v>
      </c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X217" s="5"/>
      <c r="Y217" s="5"/>
      <c r="Z217" s="5"/>
    </row>
    <row r="218" spans="1:153" ht="14.45" customHeight="1" x14ac:dyDescent="0.2"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44"/>
      <c r="N218" s="219"/>
      <c r="O218" s="219"/>
      <c r="P218" s="219"/>
    </row>
    <row r="219" spans="1:153" ht="15" customHeight="1" x14ac:dyDescent="0.2">
      <c r="C219" s="219"/>
      <c r="D219" s="219"/>
      <c r="E219" s="219"/>
      <c r="F219" s="373">
        <v>1</v>
      </c>
      <c r="G219" s="373"/>
      <c r="H219" s="373">
        <v>2</v>
      </c>
      <c r="I219" s="373"/>
      <c r="J219" s="373">
        <v>3</v>
      </c>
      <c r="K219" s="373"/>
      <c r="L219" s="373">
        <v>4</v>
      </c>
      <c r="M219" s="373"/>
      <c r="N219" s="245" t="s">
        <v>67</v>
      </c>
      <c r="O219" s="219"/>
      <c r="P219" s="219"/>
    </row>
    <row r="220" spans="1:153" x14ac:dyDescent="0.2">
      <c r="C220" s="364" t="s">
        <v>69</v>
      </c>
      <c r="D220" s="365"/>
      <c r="E220" s="366"/>
      <c r="F220" s="281"/>
      <c r="G220" s="276"/>
      <c r="H220" s="276"/>
      <c r="I220" s="276"/>
      <c r="J220" s="276"/>
      <c r="K220" s="276"/>
      <c r="L220" s="276"/>
      <c r="M220" s="417"/>
      <c r="N220" s="438"/>
      <c r="O220" s="219"/>
      <c r="P220" s="219"/>
    </row>
    <row r="221" spans="1:153" x14ac:dyDescent="0.2">
      <c r="C221" s="367"/>
      <c r="D221" s="368"/>
      <c r="E221" s="369"/>
      <c r="F221" s="247"/>
      <c r="G221" s="221"/>
      <c r="H221" s="221"/>
      <c r="I221" s="221"/>
      <c r="J221" s="221"/>
      <c r="K221" s="221"/>
      <c r="L221" s="221"/>
      <c r="M221" s="363"/>
      <c r="N221" s="439"/>
      <c r="O221" s="219"/>
      <c r="P221" s="219"/>
    </row>
    <row r="222" spans="1:153" ht="15.75" thickBot="1" x14ac:dyDescent="0.25">
      <c r="C222" s="370"/>
      <c r="D222" s="371"/>
      <c r="E222" s="372"/>
      <c r="F222" s="248"/>
      <c r="G222" s="221"/>
      <c r="H222" s="221"/>
      <c r="I222" s="221"/>
      <c r="J222" s="221"/>
      <c r="K222" s="221"/>
      <c r="L222" s="221"/>
      <c r="M222" s="363"/>
      <c r="N222" s="440"/>
      <c r="O222" s="219"/>
      <c r="P222" s="219"/>
    </row>
    <row r="223" spans="1:153" x14ac:dyDescent="0.2">
      <c r="C223" s="364" t="s">
        <v>68</v>
      </c>
      <c r="D223" s="365"/>
      <c r="E223" s="366"/>
      <c r="F223" s="246"/>
      <c r="G223" s="221"/>
      <c r="H223" s="221"/>
      <c r="I223" s="221"/>
      <c r="J223" s="221"/>
      <c r="K223" s="221"/>
      <c r="L223" s="221"/>
      <c r="M223" s="363"/>
      <c r="N223" s="438"/>
      <c r="O223" s="219"/>
      <c r="P223" s="219"/>
    </row>
    <row r="224" spans="1:153" ht="15.75" thickBot="1" x14ac:dyDescent="0.25">
      <c r="C224" s="367"/>
      <c r="D224" s="368"/>
      <c r="E224" s="369"/>
      <c r="F224" s="247"/>
      <c r="G224" s="221"/>
      <c r="H224" s="221"/>
      <c r="I224" s="221"/>
      <c r="J224" s="221"/>
      <c r="K224" s="221"/>
      <c r="L224" s="221"/>
      <c r="M224" s="363"/>
      <c r="N224" s="439"/>
      <c r="O224" s="219"/>
      <c r="P224" s="219"/>
    </row>
    <row r="225" spans="3:71" ht="15.75" thickBot="1" x14ac:dyDescent="0.25">
      <c r="C225" s="370"/>
      <c r="D225" s="371"/>
      <c r="E225" s="372"/>
      <c r="F225" s="248"/>
      <c r="G225" s="221"/>
      <c r="H225" s="221"/>
      <c r="I225" s="221"/>
      <c r="J225" s="221"/>
      <c r="K225" s="221"/>
      <c r="L225" s="221"/>
      <c r="M225" s="363"/>
      <c r="N225" s="440"/>
      <c r="O225" s="219"/>
      <c r="P225" s="219"/>
      <c r="AJ225" s="401" t="s">
        <v>278</v>
      </c>
      <c r="AK225" s="402"/>
      <c r="AL225" s="402"/>
      <c r="AM225" s="402"/>
      <c r="AN225" s="402"/>
      <c r="AO225" s="402"/>
      <c r="AP225" s="402"/>
      <c r="AQ225" s="402"/>
      <c r="AR225" s="402"/>
      <c r="AS225" s="402"/>
      <c r="AT225" s="402"/>
      <c r="AU225" s="402"/>
      <c r="AV225" s="402"/>
      <c r="AW225" s="402"/>
      <c r="AX225" s="402"/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3"/>
    </row>
    <row r="226" spans="3:71" ht="15.75" thickBot="1" x14ac:dyDescent="0.25">
      <c r="C226" s="364" t="s">
        <v>70</v>
      </c>
      <c r="D226" s="365"/>
      <c r="E226" s="366"/>
      <c r="F226" s="246"/>
      <c r="G226" s="221"/>
      <c r="H226" s="221"/>
      <c r="I226" s="221"/>
      <c r="J226" s="221"/>
      <c r="K226" s="221"/>
      <c r="L226" s="221"/>
      <c r="M226" s="363"/>
      <c r="N226" s="438"/>
      <c r="O226" s="219"/>
      <c r="P226" s="219"/>
      <c r="AJ226" s="401" t="s">
        <v>279</v>
      </c>
      <c r="AK226" s="402"/>
      <c r="AL226" s="402"/>
      <c r="AM226" s="402"/>
      <c r="AN226" s="402"/>
      <c r="AO226" s="402"/>
      <c r="AP226" s="402" t="s">
        <v>280</v>
      </c>
      <c r="AQ226" s="402"/>
      <c r="AR226" s="402"/>
      <c r="AS226" s="402"/>
      <c r="AT226" s="402"/>
      <c r="AU226" s="192" t="s">
        <v>281</v>
      </c>
      <c r="AV226" s="192"/>
      <c r="AW226" s="192"/>
      <c r="AX226" s="192"/>
      <c r="AY226" s="192"/>
      <c r="AZ226" s="192" t="s">
        <v>282</v>
      </c>
      <c r="BA226" s="192"/>
      <c r="BB226" s="192"/>
      <c r="BC226" s="192"/>
      <c r="BD226" s="192"/>
      <c r="BE226" s="192" t="s">
        <v>283</v>
      </c>
      <c r="BF226" s="192"/>
      <c r="BG226" s="192"/>
      <c r="BH226" s="192"/>
      <c r="BI226" s="192"/>
      <c r="BJ226" s="192" t="s">
        <v>284</v>
      </c>
      <c r="BK226" s="192"/>
      <c r="BL226" s="192"/>
      <c r="BM226" s="192"/>
      <c r="BN226" s="192"/>
      <c r="BO226" s="192" t="s">
        <v>285</v>
      </c>
      <c r="BP226" s="192"/>
      <c r="BQ226" s="192"/>
      <c r="BR226" s="192"/>
      <c r="BS226" s="193"/>
    </row>
    <row r="227" spans="3:71" x14ac:dyDescent="0.2">
      <c r="C227" s="367"/>
      <c r="D227" s="368"/>
      <c r="E227" s="369"/>
      <c r="F227" s="247"/>
      <c r="G227" s="221"/>
      <c r="H227" s="221"/>
      <c r="I227" s="221"/>
      <c r="J227" s="221"/>
      <c r="K227" s="221"/>
      <c r="L227" s="221"/>
      <c r="M227" s="363"/>
      <c r="N227" s="439"/>
      <c r="O227" s="219"/>
      <c r="P227" s="219"/>
      <c r="AJ227" s="180" t="s">
        <v>141</v>
      </c>
      <c r="AK227" s="181"/>
      <c r="AL227" s="181"/>
      <c r="AM227" s="181"/>
      <c r="AN227" s="181"/>
      <c r="AO227" s="181"/>
      <c r="AP227" s="181" t="s">
        <v>286</v>
      </c>
      <c r="AQ227" s="181"/>
      <c r="AR227" s="181"/>
      <c r="AS227" s="181"/>
      <c r="AT227" s="181"/>
      <c r="AU227" s="181" t="s">
        <v>287</v>
      </c>
      <c r="AV227" s="181"/>
      <c r="AW227" s="181"/>
      <c r="AX227" s="181"/>
      <c r="AY227" s="181"/>
      <c r="AZ227" s="181" t="s">
        <v>288</v>
      </c>
      <c r="BA227" s="181"/>
      <c r="BB227" s="181"/>
      <c r="BC227" s="181"/>
      <c r="BD227" s="181"/>
      <c r="BE227" s="181" t="s">
        <v>289</v>
      </c>
      <c r="BF227" s="181"/>
      <c r="BG227" s="181"/>
      <c r="BH227" s="181"/>
      <c r="BI227" s="181"/>
      <c r="BJ227" s="181" t="s">
        <v>290</v>
      </c>
      <c r="BK227" s="181"/>
      <c r="BL227" s="181"/>
      <c r="BM227" s="181"/>
      <c r="BN227" s="181"/>
      <c r="BO227" s="181" t="s">
        <v>291</v>
      </c>
      <c r="BP227" s="181"/>
      <c r="BQ227" s="181"/>
      <c r="BR227" s="181"/>
      <c r="BS227" s="191"/>
    </row>
    <row r="228" spans="3:71" ht="15.75" thickBot="1" x14ac:dyDescent="0.25">
      <c r="C228" s="370"/>
      <c r="D228" s="371"/>
      <c r="E228" s="372"/>
      <c r="F228" s="248"/>
      <c r="G228" s="221"/>
      <c r="H228" s="221"/>
      <c r="I228" s="221"/>
      <c r="J228" s="221"/>
      <c r="K228" s="221"/>
      <c r="L228" s="221"/>
      <c r="M228" s="363"/>
      <c r="N228" s="440"/>
      <c r="O228" s="219"/>
      <c r="P228" s="219"/>
      <c r="AJ228" s="182" t="s">
        <v>140</v>
      </c>
      <c r="AK228" s="123"/>
      <c r="AL228" s="123"/>
      <c r="AM228" s="123"/>
      <c r="AN228" s="123"/>
      <c r="AO228" s="123"/>
      <c r="AP228" s="123" t="s">
        <v>292</v>
      </c>
      <c r="AQ228" s="123"/>
      <c r="AR228" s="123"/>
      <c r="AS228" s="123"/>
      <c r="AT228" s="123"/>
      <c r="AU228" s="123" t="s">
        <v>293</v>
      </c>
      <c r="AV228" s="123"/>
      <c r="AW228" s="123"/>
      <c r="AX228" s="123"/>
      <c r="AY228" s="123"/>
      <c r="AZ228" s="123" t="s">
        <v>294</v>
      </c>
      <c r="BA228" s="123"/>
      <c r="BB228" s="123"/>
      <c r="BC228" s="123"/>
      <c r="BD228" s="123"/>
      <c r="BE228" s="123" t="s">
        <v>295</v>
      </c>
      <c r="BF228" s="123"/>
      <c r="BG228" s="123"/>
      <c r="BH228" s="123"/>
      <c r="BI228" s="123"/>
      <c r="BJ228" s="123" t="s">
        <v>296</v>
      </c>
      <c r="BK228" s="123"/>
      <c r="BL228" s="123"/>
      <c r="BM228" s="123"/>
      <c r="BN228" s="123"/>
      <c r="BO228" s="123" t="s">
        <v>297</v>
      </c>
      <c r="BP228" s="123"/>
      <c r="BQ228" s="123"/>
      <c r="BR228" s="123"/>
      <c r="BS228" s="190"/>
    </row>
    <row r="229" spans="3:71" x14ac:dyDescent="0.2">
      <c r="C229" s="364" t="s">
        <v>71</v>
      </c>
      <c r="D229" s="365"/>
      <c r="E229" s="366"/>
      <c r="F229" s="246"/>
      <c r="G229" s="221"/>
      <c r="H229" s="221"/>
      <c r="I229" s="221"/>
      <c r="J229" s="221"/>
      <c r="K229" s="221"/>
      <c r="L229" s="221"/>
      <c r="M229" s="363"/>
      <c r="N229" s="438"/>
      <c r="O229" s="219"/>
      <c r="P229" s="219"/>
      <c r="AJ229" s="183" t="s">
        <v>298</v>
      </c>
      <c r="AK229" s="184"/>
      <c r="AL229" s="184"/>
      <c r="AM229" s="184"/>
      <c r="AN229" s="184"/>
      <c r="AO229" s="184"/>
      <c r="AP229" s="184" t="s">
        <v>299</v>
      </c>
      <c r="AQ229" s="184"/>
      <c r="AR229" s="184"/>
      <c r="AS229" s="184"/>
      <c r="AT229" s="184"/>
      <c r="AU229" s="184" t="s">
        <v>294</v>
      </c>
      <c r="AV229" s="184"/>
      <c r="AW229" s="184"/>
      <c r="AX229" s="184"/>
      <c r="AY229" s="184"/>
      <c r="AZ229" s="184" t="s">
        <v>297</v>
      </c>
      <c r="BA229" s="184"/>
      <c r="BB229" s="184"/>
      <c r="BC229" s="184"/>
      <c r="BD229" s="184"/>
      <c r="BE229" s="184" t="s">
        <v>300</v>
      </c>
      <c r="BF229" s="184"/>
      <c r="BG229" s="184"/>
      <c r="BH229" s="184"/>
      <c r="BI229" s="184"/>
      <c r="BJ229" s="184" t="s">
        <v>301</v>
      </c>
      <c r="BK229" s="184"/>
      <c r="BL229" s="184"/>
      <c r="BM229" s="184"/>
      <c r="BN229" s="184"/>
      <c r="BO229" s="184" t="s">
        <v>302</v>
      </c>
      <c r="BP229" s="184"/>
      <c r="BQ229" s="184"/>
      <c r="BR229" s="184"/>
      <c r="BS229" s="189"/>
    </row>
    <row r="230" spans="3:71" x14ac:dyDescent="0.2">
      <c r="C230" s="367"/>
      <c r="D230" s="368"/>
      <c r="E230" s="369"/>
      <c r="F230" s="247"/>
      <c r="G230" s="221"/>
      <c r="H230" s="221"/>
      <c r="I230" s="221"/>
      <c r="J230" s="221"/>
      <c r="K230" s="221"/>
      <c r="L230" s="221"/>
      <c r="M230" s="363"/>
      <c r="N230" s="439"/>
      <c r="O230" s="219"/>
      <c r="P230" s="219"/>
      <c r="AJ230" s="182" t="s">
        <v>303</v>
      </c>
      <c r="AK230" s="123"/>
      <c r="AL230" s="123"/>
      <c r="AM230" s="123"/>
      <c r="AN230" s="123"/>
      <c r="AO230" s="123"/>
      <c r="AP230" s="123" t="s">
        <v>304</v>
      </c>
      <c r="AQ230" s="123"/>
      <c r="AR230" s="123"/>
      <c r="AS230" s="123"/>
      <c r="AT230" s="123"/>
      <c r="AU230" s="123" t="s">
        <v>295</v>
      </c>
      <c r="AV230" s="123"/>
      <c r="AW230" s="123"/>
      <c r="AX230" s="123"/>
      <c r="AY230" s="123"/>
      <c r="AZ230" s="123" t="s">
        <v>300</v>
      </c>
      <c r="BA230" s="123"/>
      <c r="BB230" s="123"/>
      <c r="BC230" s="123"/>
      <c r="BD230" s="123"/>
      <c r="BE230" s="123" t="s">
        <v>305</v>
      </c>
      <c r="BF230" s="123"/>
      <c r="BG230" s="123"/>
      <c r="BH230" s="123"/>
      <c r="BI230" s="123"/>
      <c r="BJ230" s="123" t="s">
        <v>305</v>
      </c>
      <c r="BK230" s="123"/>
      <c r="BL230" s="123"/>
      <c r="BM230" s="123"/>
      <c r="BN230" s="123"/>
      <c r="BO230" s="123" t="s">
        <v>306</v>
      </c>
      <c r="BP230" s="123"/>
      <c r="BQ230" s="123"/>
      <c r="BR230" s="123"/>
      <c r="BS230" s="190"/>
    </row>
    <row r="231" spans="3:71" ht="15.75" thickBot="1" x14ac:dyDescent="0.25">
      <c r="C231" s="370"/>
      <c r="D231" s="371"/>
      <c r="E231" s="372"/>
      <c r="F231" s="248"/>
      <c r="G231" s="221"/>
      <c r="H231" s="221"/>
      <c r="I231" s="221"/>
      <c r="J231" s="221"/>
      <c r="K231" s="221"/>
      <c r="L231" s="221"/>
      <c r="M231" s="363"/>
      <c r="N231" s="440"/>
      <c r="O231" s="219"/>
      <c r="P231" s="219"/>
      <c r="AJ231" s="183" t="s">
        <v>307</v>
      </c>
      <c r="AK231" s="184"/>
      <c r="AL231" s="184"/>
      <c r="AM231" s="184"/>
      <c r="AN231" s="184"/>
      <c r="AO231" s="184"/>
      <c r="AP231" s="184" t="s">
        <v>308</v>
      </c>
      <c r="AQ231" s="184"/>
      <c r="AR231" s="184"/>
      <c r="AS231" s="184"/>
      <c r="AT231" s="184"/>
      <c r="AU231" s="184" t="s">
        <v>309</v>
      </c>
      <c r="AV231" s="184"/>
      <c r="AW231" s="184"/>
      <c r="AX231" s="184"/>
      <c r="AY231" s="184"/>
      <c r="AZ231" s="184" t="s">
        <v>305</v>
      </c>
      <c r="BA231" s="184"/>
      <c r="BB231" s="184"/>
      <c r="BC231" s="184"/>
      <c r="BD231" s="184"/>
      <c r="BE231" s="184" t="s">
        <v>310</v>
      </c>
      <c r="BF231" s="184"/>
      <c r="BG231" s="184"/>
      <c r="BH231" s="184"/>
      <c r="BI231" s="184"/>
      <c r="BJ231" s="184" t="s">
        <v>310</v>
      </c>
      <c r="BK231" s="184"/>
      <c r="BL231" s="184"/>
      <c r="BM231" s="184"/>
      <c r="BN231" s="184"/>
      <c r="BO231" s="184" t="s">
        <v>311</v>
      </c>
      <c r="BP231" s="184"/>
      <c r="BQ231" s="184"/>
      <c r="BR231" s="184"/>
      <c r="BS231" s="189"/>
    </row>
    <row r="232" spans="3:71" x14ac:dyDescent="0.2">
      <c r="C232" s="364" t="s">
        <v>72</v>
      </c>
      <c r="D232" s="365"/>
      <c r="E232" s="366"/>
      <c r="F232" s="246"/>
      <c r="G232" s="221"/>
      <c r="H232" s="221"/>
      <c r="I232" s="221"/>
      <c r="J232" s="221"/>
      <c r="K232" s="221"/>
      <c r="L232" s="221"/>
      <c r="M232" s="363"/>
      <c r="N232" s="438"/>
      <c r="O232" s="219"/>
      <c r="P232" s="219"/>
      <c r="AJ232" s="182" t="s">
        <v>312</v>
      </c>
      <c r="AK232" s="123"/>
      <c r="AL232" s="123"/>
      <c r="AM232" s="123"/>
      <c r="AN232" s="123"/>
      <c r="AO232" s="123"/>
      <c r="AP232" s="123" t="s">
        <v>313</v>
      </c>
      <c r="AQ232" s="123"/>
      <c r="AR232" s="123"/>
      <c r="AS232" s="123"/>
      <c r="AT232" s="123"/>
      <c r="AU232" s="123" t="s">
        <v>314</v>
      </c>
      <c r="AV232" s="123"/>
      <c r="AW232" s="123"/>
      <c r="AX232" s="123"/>
      <c r="AY232" s="123"/>
      <c r="AZ232" s="123" t="s">
        <v>315</v>
      </c>
      <c r="BA232" s="123"/>
      <c r="BB232" s="123"/>
      <c r="BC232" s="123"/>
      <c r="BD232" s="123"/>
      <c r="BE232" s="123" t="s">
        <v>316</v>
      </c>
      <c r="BF232" s="123"/>
      <c r="BG232" s="123"/>
      <c r="BH232" s="123"/>
      <c r="BI232" s="123"/>
      <c r="BJ232" s="123" t="s">
        <v>316</v>
      </c>
      <c r="BK232" s="123"/>
      <c r="BL232" s="123"/>
      <c r="BM232" s="123"/>
      <c r="BN232" s="123"/>
      <c r="BO232" s="123" t="s">
        <v>315</v>
      </c>
      <c r="BP232" s="123"/>
      <c r="BQ232" s="123"/>
      <c r="BR232" s="123"/>
      <c r="BS232" s="190"/>
    </row>
    <row r="233" spans="3:71" ht="15.75" thickBot="1" x14ac:dyDescent="0.25">
      <c r="C233" s="367"/>
      <c r="D233" s="368"/>
      <c r="E233" s="369"/>
      <c r="F233" s="247"/>
      <c r="G233" s="221"/>
      <c r="H233" s="221"/>
      <c r="I233" s="221"/>
      <c r="J233" s="221"/>
      <c r="K233" s="221"/>
      <c r="L233" s="221"/>
      <c r="M233" s="363"/>
      <c r="N233" s="439"/>
      <c r="O233" s="219"/>
      <c r="P233" s="219"/>
      <c r="AJ233" s="185" t="s">
        <v>317</v>
      </c>
      <c r="AK233" s="186"/>
      <c r="AL233" s="186"/>
      <c r="AM233" s="186"/>
      <c r="AN233" s="186"/>
      <c r="AO233" s="186"/>
      <c r="AP233" s="186" t="s">
        <v>318</v>
      </c>
      <c r="AQ233" s="186"/>
      <c r="AR233" s="186"/>
      <c r="AS233" s="186"/>
      <c r="AT233" s="186"/>
      <c r="AU233" s="186" t="s">
        <v>319</v>
      </c>
      <c r="AV233" s="186"/>
      <c r="AW233" s="186"/>
      <c r="AX233" s="186"/>
      <c r="AY233" s="186"/>
      <c r="AZ233" s="186" t="s">
        <v>320</v>
      </c>
      <c r="BA233" s="186"/>
      <c r="BB233" s="186"/>
      <c r="BC233" s="186"/>
      <c r="BD233" s="186"/>
      <c r="BE233" s="186" t="s">
        <v>321</v>
      </c>
      <c r="BF233" s="186"/>
      <c r="BG233" s="186"/>
      <c r="BH233" s="186"/>
      <c r="BI233" s="186"/>
      <c r="BJ233" s="186" t="s">
        <v>321</v>
      </c>
      <c r="BK233" s="186"/>
      <c r="BL233" s="186"/>
      <c r="BM233" s="186"/>
      <c r="BN233" s="186"/>
      <c r="BO233" s="186" t="s">
        <v>322</v>
      </c>
      <c r="BP233" s="186"/>
      <c r="BQ233" s="186"/>
      <c r="BR233" s="186"/>
      <c r="BS233" s="188"/>
    </row>
    <row r="234" spans="3:71" ht="15.75" thickBot="1" x14ac:dyDescent="0.25">
      <c r="C234" s="370"/>
      <c r="D234" s="371"/>
      <c r="E234" s="372"/>
      <c r="F234" s="248"/>
      <c r="G234" s="221"/>
      <c r="H234" s="221"/>
      <c r="I234" s="221"/>
      <c r="J234" s="221"/>
      <c r="K234" s="221"/>
      <c r="L234" s="221"/>
      <c r="M234" s="363"/>
      <c r="N234" s="440"/>
      <c r="O234" s="219"/>
      <c r="P234" s="219"/>
      <c r="AJ234" s="401" t="s">
        <v>323</v>
      </c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3"/>
    </row>
    <row r="235" spans="3:71" ht="15.75" thickBot="1" x14ac:dyDescent="0.25">
      <c r="C235" s="364" t="s">
        <v>73</v>
      </c>
      <c r="D235" s="365"/>
      <c r="E235" s="366"/>
      <c r="F235" s="246"/>
      <c r="G235" s="221"/>
      <c r="H235" s="221"/>
      <c r="I235" s="221"/>
      <c r="J235" s="221"/>
      <c r="K235" s="221"/>
      <c r="L235" s="221"/>
      <c r="M235" s="363"/>
      <c r="N235" s="438"/>
      <c r="O235" s="219"/>
      <c r="P235" s="219"/>
      <c r="AJ235" s="401" t="s">
        <v>279</v>
      </c>
      <c r="AK235" s="402"/>
      <c r="AL235" s="402"/>
      <c r="AM235" s="402"/>
      <c r="AN235" s="402"/>
      <c r="AO235" s="402"/>
      <c r="AP235" s="192" t="s">
        <v>280</v>
      </c>
      <c r="AQ235" s="192"/>
      <c r="AR235" s="192"/>
      <c r="AS235" s="192"/>
      <c r="AT235" s="192"/>
      <c r="AU235" s="192" t="s">
        <v>281</v>
      </c>
      <c r="AV235" s="192"/>
      <c r="AW235" s="192"/>
      <c r="AX235" s="192"/>
      <c r="AY235" s="192"/>
      <c r="AZ235" s="192" t="s">
        <v>282</v>
      </c>
      <c r="BA235" s="192"/>
      <c r="BB235" s="192"/>
      <c r="BC235" s="192"/>
      <c r="BD235" s="192"/>
      <c r="BE235" s="192" t="s">
        <v>283</v>
      </c>
      <c r="BF235" s="192"/>
      <c r="BG235" s="192"/>
      <c r="BH235" s="192"/>
      <c r="BI235" s="192"/>
      <c r="BJ235" s="192" t="s">
        <v>284</v>
      </c>
      <c r="BK235" s="192"/>
      <c r="BL235" s="192"/>
      <c r="BM235" s="192"/>
      <c r="BN235" s="192"/>
      <c r="BO235" s="192" t="s">
        <v>285</v>
      </c>
      <c r="BP235" s="192"/>
      <c r="BQ235" s="192"/>
      <c r="BR235" s="192"/>
      <c r="BS235" s="193"/>
    </row>
    <row r="236" spans="3:71" x14ac:dyDescent="0.2">
      <c r="C236" s="367"/>
      <c r="D236" s="368"/>
      <c r="E236" s="369"/>
      <c r="F236" s="247"/>
      <c r="G236" s="221"/>
      <c r="H236" s="221"/>
      <c r="I236" s="221"/>
      <c r="J236" s="221"/>
      <c r="K236" s="221"/>
      <c r="L236" s="221"/>
      <c r="M236" s="363"/>
      <c r="N236" s="439"/>
      <c r="O236" s="219"/>
      <c r="P236" s="219"/>
      <c r="AJ236" s="393" t="s">
        <v>141</v>
      </c>
      <c r="AK236" s="394"/>
      <c r="AL236" s="394"/>
      <c r="AM236" s="394"/>
      <c r="AN236" s="394"/>
      <c r="AO236" s="394"/>
      <c r="AP236" s="181" t="s">
        <v>324</v>
      </c>
      <c r="AQ236" s="181"/>
      <c r="AR236" s="181"/>
      <c r="AS236" s="181"/>
      <c r="AT236" s="181"/>
      <c r="AU236" s="181" t="s">
        <v>304</v>
      </c>
      <c r="AV236" s="181"/>
      <c r="AW236" s="181"/>
      <c r="AX236" s="181"/>
      <c r="AY236" s="181"/>
      <c r="AZ236" s="181" t="s">
        <v>325</v>
      </c>
      <c r="BA236" s="181"/>
      <c r="BB236" s="181"/>
      <c r="BC236" s="181"/>
      <c r="BD236" s="181"/>
      <c r="BE236" s="181" t="s">
        <v>326</v>
      </c>
      <c r="BF236" s="181"/>
      <c r="BG236" s="181"/>
      <c r="BH236" s="181"/>
      <c r="BI236" s="181"/>
      <c r="BJ236" s="181" t="s">
        <v>327</v>
      </c>
      <c r="BK236" s="181"/>
      <c r="BL236" s="181"/>
      <c r="BM236" s="181"/>
      <c r="BN236" s="181"/>
      <c r="BO236" s="181" t="s">
        <v>328</v>
      </c>
      <c r="BP236" s="181"/>
      <c r="BQ236" s="181"/>
      <c r="BR236" s="181"/>
      <c r="BS236" s="191"/>
    </row>
    <row r="237" spans="3:71" ht="15.75" thickBot="1" x14ac:dyDescent="0.25">
      <c r="C237" s="370"/>
      <c r="D237" s="371"/>
      <c r="E237" s="372"/>
      <c r="F237" s="248"/>
      <c r="G237" s="221"/>
      <c r="H237" s="221"/>
      <c r="I237" s="221"/>
      <c r="J237" s="221"/>
      <c r="K237" s="221"/>
      <c r="L237" s="221"/>
      <c r="M237" s="363"/>
      <c r="N237" s="440"/>
      <c r="O237" s="219"/>
      <c r="P237" s="219"/>
      <c r="AJ237" s="380" t="s">
        <v>140</v>
      </c>
      <c r="AK237" s="392"/>
      <c r="AL237" s="392"/>
      <c r="AM237" s="392"/>
      <c r="AN237" s="392"/>
      <c r="AO237" s="392"/>
      <c r="AP237" s="123" t="s">
        <v>329</v>
      </c>
      <c r="AQ237" s="123"/>
      <c r="AR237" s="123"/>
      <c r="AS237" s="123"/>
      <c r="AT237" s="123"/>
      <c r="AU237" s="123" t="s">
        <v>295</v>
      </c>
      <c r="AV237" s="123"/>
      <c r="AW237" s="123"/>
      <c r="AX237" s="123"/>
      <c r="AY237" s="123"/>
      <c r="AZ237" s="123" t="s">
        <v>330</v>
      </c>
      <c r="BA237" s="123"/>
      <c r="BB237" s="123"/>
      <c r="BC237" s="123"/>
      <c r="BD237" s="123"/>
      <c r="BE237" s="123" t="s">
        <v>331</v>
      </c>
      <c r="BF237" s="123"/>
      <c r="BG237" s="123"/>
      <c r="BH237" s="123"/>
      <c r="BI237" s="123"/>
      <c r="BJ237" s="123" t="s">
        <v>332</v>
      </c>
      <c r="BK237" s="123"/>
      <c r="BL237" s="123"/>
      <c r="BM237" s="123"/>
      <c r="BN237" s="123"/>
      <c r="BO237" s="123" t="s">
        <v>333</v>
      </c>
      <c r="BP237" s="123"/>
      <c r="BQ237" s="123"/>
      <c r="BR237" s="123"/>
      <c r="BS237" s="190"/>
    </row>
    <row r="238" spans="3:71" x14ac:dyDescent="0.2">
      <c r="C238" s="364" t="s">
        <v>74</v>
      </c>
      <c r="D238" s="365"/>
      <c r="E238" s="366"/>
      <c r="F238" s="246"/>
      <c r="G238" s="221"/>
      <c r="H238" s="221"/>
      <c r="I238" s="221"/>
      <c r="J238" s="221"/>
      <c r="K238" s="221"/>
      <c r="L238" s="221"/>
      <c r="M238" s="363"/>
      <c r="N238" s="438"/>
      <c r="O238" s="219"/>
      <c r="P238" s="219"/>
      <c r="AJ238" s="378" t="s">
        <v>298</v>
      </c>
      <c r="AK238" s="391"/>
      <c r="AL238" s="391"/>
      <c r="AM238" s="391"/>
      <c r="AN238" s="391"/>
      <c r="AO238" s="391"/>
      <c r="AP238" s="184" t="s">
        <v>334</v>
      </c>
      <c r="AQ238" s="184"/>
      <c r="AR238" s="184"/>
      <c r="AS238" s="184"/>
      <c r="AT238" s="184"/>
      <c r="AU238" s="184" t="s">
        <v>300</v>
      </c>
      <c r="AV238" s="184"/>
      <c r="AW238" s="184"/>
      <c r="AX238" s="184"/>
      <c r="AY238" s="184"/>
      <c r="AZ238" s="184" t="s">
        <v>332</v>
      </c>
      <c r="BA238" s="184"/>
      <c r="BB238" s="184"/>
      <c r="BC238" s="184"/>
      <c r="BD238" s="184"/>
      <c r="BE238" s="184" t="s">
        <v>335</v>
      </c>
      <c r="BF238" s="184"/>
      <c r="BG238" s="184"/>
      <c r="BH238" s="184"/>
      <c r="BI238" s="184"/>
      <c r="BJ238" s="184" t="s">
        <v>315</v>
      </c>
      <c r="BK238" s="184"/>
      <c r="BL238" s="184"/>
      <c r="BM238" s="184"/>
      <c r="BN238" s="184"/>
      <c r="BO238" s="184" t="s">
        <v>315</v>
      </c>
      <c r="BP238" s="184"/>
      <c r="BQ238" s="184"/>
      <c r="BR238" s="184"/>
      <c r="BS238" s="189"/>
    </row>
    <row r="239" spans="3:71" x14ac:dyDescent="0.2">
      <c r="C239" s="367"/>
      <c r="D239" s="368"/>
      <c r="E239" s="369"/>
      <c r="F239" s="247"/>
      <c r="G239" s="221"/>
      <c r="H239" s="221"/>
      <c r="I239" s="221"/>
      <c r="J239" s="221"/>
      <c r="K239" s="221"/>
      <c r="L239" s="221"/>
      <c r="M239" s="363"/>
      <c r="N239" s="439"/>
      <c r="O239" s="219"/>
      <c r="P239" s="219"/>
      <c r="AJ239" s="380" t="s">
        <v>303</v>
      </c>
      <c r="AK239" s="392"/>
      <c r="AL239" s="392"/>
      <c r="AM239" s="392"/>
      <c r="AN239" s="392"/>
      <c r="AO239" s="392"/>
      <c r="AP239" s="123" t="s">
        <v>331</v>
      </c>
      <c r="AQ239" s="123"/>
      <c r="AR239" s="123"/>
      <c r="AS239" s="123"/>
      <c r="AT239" s="123"/>
      <c r="AU239" s="123" t="s">
        <v>305</v>
      </c>
      <c r="AV239" s="123"/>
      <c r="AW239" s="123"/>
      <c r="AX239" s="123"/>
      <c r="AY239" s="123"/>
      <c r="AZ239" s="123" t="s">
        <v>315</v>
      </c>
      <c r="BA239" s="123"/>
      <c r="BB239" s="123"/>
      <c r="BC239" s="123"/>
      <c r="BD239" s="123"/>
      <c r="BE239" s="123" t="s">
        <v>336</v>
      </c>
      <c r="BF239" s="123"/>
      <c r="BG239" s="123"/>
      <c r="BH239" s="123"/>
      <c r="BI239" s="123"/>
      <c r="BJ239" s="123" t="s">
        <v>337</v>
      </c>
      <c r="BK239" s="123"/>
      <c r="BL239" s="123"/>
      <c r="BM239" s="123"/>
      <c r="BN239" s="123"/>
      <c r="BO239" s="123" t="s">
        <v>337</v>
      </c>
      <c r="BP239" s="123"/>
      <c r="BQ239" s="123"/>
      <c r="BR239" s="123"/>
      <c r="BS239" s="190"/>
    </row>
    <row r="240" spans="3:71" ht="15.75" thickBot="1" x14ac:dyDescent="0.25">
      <c r="C240" s="370"/>
      <c r="D240" s="371"/>
      <c r="E240" s="372"/>
      <c r="F240" s="248"/>
      <c r="G240" s="221"/>
      <c r="H240" s="221"/>
      <c r="I240" s="221"/>
      <c r="J240" s="221"/>
      <c r="K240" s="221"/>
      <c r="L240" s="221"/>
      <c r="M240" s="363"/>
      <c r="N240" s="440"/>
      <c r="O240" s="219"/>
      <c r="P240" s="219"/>
      <c r="AJ240" s="378" t="s">
        <v>307</v>
      </c>
      <c r="AK240" s="391"/>
      <c r="AL240" s="391"/>
      <c r="AM240" s="391"/>
      <c r="AN240" s="391"/>
      <c r="AO240" s="391"/>
      <c r="AP240" s="184" t="s">
        <v>335</v>
      </c>
      <c r="AQ240" s="184"/>
      <c r="AR240" s="184"/>
      <c r="AS240" s="184"/>
      <c r="AT240" s="184"/>
      <c r="AU240" s="184" t="s">
        <v>315</v>
      </c>
      <c r="AV240" s="184"/>
      <c r="AW240" s="184"/>
      <c r="AX240" s="184"/>
      <c r="AY240" s="184"/>
      <c r="AZ240" s="184" t="s">
        <v>337</v>
      </c>
      <c r="BA240" s="184"/>
      <c r="BB240" s="184"/>
      <c r="BC240" s="184"/>
      <c r="BD240" s="184"/>
      <c r="BE240" s="184" t="s">
        <v>338</v>
      </c>
      <c r="BF240" s="184"/>
      <c r="BG240" s="184"/>
      <c r="BH240" s="184"/>
      <c r="BI240" s="184"/>
      <c r="BJ240" s="184" t="s">
        <v>339</v>
      </c>
      <c r="BK240" s="184"/>
      <c r="BL240" s="184"/>
      <c r="BM240" s="184"/>
      <c r="BN240" s="184"/>
      <c r="BO240" s="184" t="s">
        <v>338</v>
      </c>
      <c r="BP240" s="184"/>
      <c r="BQ240" s="184"/>
      <c r="BR240" s="184"/>
      <c r="BS240" s="189"/>
    </row>
    <row r="241" spans="3:71" x14ac:dyDescent="0.2">
      <c r="C241" s="364" t="s">
        <v>75</v>
      </c>
      <c r="D241" s="365"/>
      <c r="E241" s="366"/>
      <c r="F241" s="246"/>
      <c r="G241" s="221"/>
      <c r="H241" s="221"/>
      <c r="I241" s="221"/>
      <c r="J241" s="221"/>
      <c r="K241" s="221"/>
      <c r="L241" s="221"/>
      <c r="M241" s="363"/>
      <c r="N241" s="438"/>
      <c r="O241" s="219"/>
      <c r="P241" s="219"/>
      <c r="AJ241" s="380" t="s">
        <v>312</v>
      </c>
      <c r="AK241" s="392"/>
      <c r="AL241" s="392"/>
      <c r="AM241" s="392"/>
      <c r="AN241" s="392"/>
      <c r="AO241" s="392"/>
      <c r="AP241" s="123" t="s">
        <v>336</v>
      </c>
      <c r="AQ241" s="123"/>
      <c r="AR241" s="123"/>
      <c r="AS241" s="123"/>
      <c r="AT241" s="123"/>
      <c r="AU241" s="123" t="s">
        <v>340</v>
      </c>
      <c r="AV241" s="123"/>
      <c r="AW241" s="123"/>
      <c r="AX241" s="123"/>
      <c r="AY241" s="123"/>
      <c r="AZ241" s="123" t="s">
        <v>341</v>
      </c>
      <c r="BA241" s="123"/>
      <c r="BB241" s="123"/>
      <c r="BC241" s="123"/>
      <c r="BD241" s="123"/>
      <c r="BE241" s="123" t="s">
        <v>358</v>
      </c>
      <c r="BF241" s="123"/>
      <c r="BG241" s="123"/>
      <c r="BH241" s="123"/>
      <c r="BI241" s="123"/>
      <c r="BJ241" s="123" t="s">
        <v>342</v>
      </c>
      <c r="BK241" s="123"/>
      <c r="BL241" s="123"/>
      <c r="BM241" s="123"/>
      <c r="BN241" s="123"/>
      <c r="BO241" s="123" t="s">
        <v>343</v>
      </c>
      <c r="BP241" s="123"/>
      <c r="BQ241" s="123"/>
      <c r="BR241" s="123"/>
      <c r="BS241" s="190"/>
    </row>
    <row r="242" spans="3:71" ht="15.75" thickBot="1" x14ac:dyDescent="0.25">
      <c r="C242" s="367"/>
      <c r="D242" s="368"/>
      <c r="E242" s="369"/>
      <c r="F242" s="247"/>
      <c r="G242" s="221"/>
      <c r="H242" s="221"/>
      <c r="I242" s="221"/>
      <c r="J242" s="221"/>
      <c r="K242" s="221"/>
      <c r="L242" s="221"/>
      <c r="M242" s="363"/>
      <c r="N242" s="439"/>
      <c r="O242" s="219"/>
      <c r="P242" s="219"/>
      <c r="AJ242" s="387" t="s">
        <v>317</v>
      </c>
      <c r="AK242" s="388"/>
      <c r="AL242" s="388"/>
      <c r="AM242" s="388"/>
      <c r="AN242" s="388"/>
      <c r="AO242" s="388"/>
      <c r="AP242" s="186" t="s">
        <v>344</v>
      </c>
      <c r="AQ242" s="186"/>
      <c r="AR242" s="186"/>
      <c r="AS242" s="186"/>
      <c r="AT242" s="186"/>
      <c r="AU242" s="186" t="s">
        <v>345</v>
      </c>
      <c r="AV242" s="186"/>
      <c r="AW242" s="186"/>
      <c r="AX242" s="186"/>
      <c r="AY242" s="186"/>
      <c r="AZ242" s="186" t="s">
        <v>346</v>
      </c>
      <c r="BA242" s="186"/>
      <c r="BB242" s="186"/>
      <c r="BC242" s="186"/>
      <c r="BD242" s="186"/>
      <c r="BE242" s="186" t="s">
        <v>357</v>
      </c>
      <c r="BF242" s="186"/>
      <c r="BG242" s="186"/>
      <c r="BH242" s="186"/>
      <c r="BI242" s="186"/>
      <c r="BJ242" s="186" t="s">
        <v>347</v>
      </c>
      <c r="BK242" s="186"/>
      <c r="BL242" s="186"/>
      <c r="BM242" s="186"/>
      <c r="BN242" s="186"/>
      <c r="BO242" s="186" t="s">
        <v>348</v>
      </c>
      <c r="BP242" s="186"/>
      <c r="BQ242" s="186"/>
      <c r="BR242" s="186"/>
      <c r="BS242" s="188"/>
    </row>
    <row r="243" spans="3:71" ht="15.75" thickBot="1" x14ac:dyDescent="0.25">
      <c r="C243" s="370"/>
      <c r="D243" s="371"/>
      <c r="E243" s="372"/>
      <c r="F243" s="248"/>
      <c r="G243" s="221"/>
      <c r="H243" s="221"/>
      <c r="I243" s="221"/>
      <c r="J243" s="221"/>
      <c r="K243" s="221"/>
      <c r="L243" s="221"/>
      <c r="M243" s="363"/>
      <c r="N243" s="440"/>
      <c r="O243" s="219"/>
      <c r="P243" s="219"/>
    </row>
    <row r="244" spans="3:71" x14ac:dyDescent="0.2">
      <c r="C244" s="364" t="s">
        <v>76</v>
      </c>
      <c r="D244" s="365"/>
      <c r="E244" s="366"/>
      <c r="F244" s="246"/>
      <c r="G244" s="221"/>
      <c r="H244" s="221"/>
      <c r="I244" s="221"/>
      <c r="J244" s="221"/>
      <c r="K244" s="221"/>
      <c r="L244" s="221"/>
      <c r="M244" s="363"/>
      <c r="N244" s="438"/>
      <c r="O244" s="219"/>
      <c r="P244" s="219"/>
    </row>
    <row r="245" spans="3:71" x14ac:dyDescent="0.2">
      <c r="C245" s="367"/>
      <c r="D245" s="368"/>
      <c r="E245" s="369"/>
      <c r="F245" s="247"/>
      <c r="G245" s="221"/>
      <c r="H245" s="221"/>
      <c r="I245" s="221"/>
      <c r="J245" s="221"/>
      <c r="K245" s="221"/>
      <c r="L245" s="221"/>
      <c r="M245" s="363"/>
      <c r="N245" s="439"/>
      <c r="O245" s="219"/>
      <c r="P245" s="219"/>
      <c r="AJ245" s="389" t="s">
        <v>349</v>
      </c>
      <c r="AK245" s="390"/>
      <c r="AL245" s="390"/>
      <c r="BB245" s="395" t="s">
        <v>350</v>
      </c>
      <c r="BC245" s="395"/>
      <c r="BD245" s="395"/>
    </row>
    <row r="246" spans="3:71" ht="15.75" thickBot="1" x14ac:dyDescent="0.25">
      <c r="C246" s="370"/>
      <c r="D246" s="371"/>
      <c r="E246" s="372"/>
      <c r="F246" s="248"/>
      <c r="G246" s="221"/>
      <c r="H246" s="221"/>
      <c r="I246" s="221"/>
      <c r="J246" s="221"/>
      <c r="K246" s="221"/>
      <c r="L246" s="221"/>
      <c r="M246" s="363"/>
      <c r="N246" s="440"/>
      <c r="O246" s="219"/>
      <c r="P246" s="219"/>
      <c r="AJ246" s="194"/>
      <c r="AK246" s="195"/>
      <c r="AL246" s="195" t="s">
        <v>351</v>
      </c>
      <c r="AM246" s="187"/>
      <c r="AN246" s="187"/>
      <c r="AO246" s="187"/>
      <c r="AP246" s="106"/>
      <c r="BC246" s="195" t="s">
        <v>351</v>
      </c>
    </row>
    <row r="247" spans="3:71" x14ac:dyDescent="0.2">
      <c r="C247" s="416" t="s">
        <v>77</v>
      </c>
      <c r="D247" s="417"/>
      <c r="E247" s="418"/>
      <c r="F247" s="246"/>
      <c r="G247" s="221"/>
      <c r="H247" s="221"/>
      <c r="I247" s="221"/>
      <c r="J247" s="221"/>
      <c r="K247" s="221"/>
      <c r="L247" s="221"/>
      <c r="M247" s="363"/>
      <c r="N247" s="438"/>
      <c r="O247" s="219"/>
      <c r="P247" s="219"/>
      <c r="AL247" s="201">
        <v>4</v>
      </c>
      <c r="AM247" s="378" t="s">
        <v>141</v>
      </c>
      <c r="AN247" s="379"/>
      <c r="AO247" s="106"/>
      <c r="AP247" s="106"/>
      <c r="BB247" s="209">
        <v>13</v>
      </c>
      <c r="BC247" s="396" t="s">
        <v>141</v>
      </c>
      <c r="BD247" s="397"/>
    </row>
    <row r="248" spans="3:71" x14ac:dyDescent="0.2">
      <c r="C248" s="419"/>
      <c r="D248" s="363"/>
      <c r="E248" s="420"/>
      <c r="F248" s="247"/>
      <c r="G248" s="221"/>
      <c r="H248" s="221"/>
      <c r="I248" s="221"/>
      <c r="J248" s="221"/>
      <c r="K248" s="221"/>
      <c r="L248" s="221"/>
      <c r="M248" s="363"/>
      <c r="N248" s="439"/>
      <c r="O248" s="219"/>
      <c r="P248" s="219"/>
      <c r="AL248" s="202">
        <v>8</v>
      </c>
      <c r="AM248" s="380" t="s">
        <v>140</v>
      </c>
      <c r="AN248" s="381"/>
      <c r="AO248" s="106"/>
      <c r="AP248" s="106"/>
      <c r="BB248" s="210">
        <v>17</v>
      </c>
      <c r="BC248" s="398" t="s">
        <v>140</v>
      </c>
      <c r="BD248" s="399"/>
    </row>
    <row r="249" spans="3:71" ht="15.75" thickBot="1" x14ac:dyDescent="0.25">
      <c r="C249" s="421"/>
      <c r="D249" s="413"/>
      <c r="E249" s="422"/>
      <c r="F249" s="248"/>
      <c r="G249" s="221"/>
      <c r="H249" s="221"/>
      <c r="I249" s="221"/>
      <c r="J249" s="221"/>
      <c r="K249" s="221"/>
      <c r="L249" s="221"/>
      <c r="M249" s="363"/>
      <c r="N249" s="440"/>
      <c r="O249" s="219"/>
      <c r="P249" s="219"/>
      <c r="AL249" s="203">
        <v>12</v>
      </c>
      <c r="AM249" s="378" t="s">
        <v>298</v>
      </c>
      <c r="AN249" s="382"/>
      <c r="AO249" s="106"/>
      <c r="AP249" s="106"/>
      <c r="BB249" s="211">
        <v>20</v>
      </c>
      <c r="BC249" s="396" t="s">
        <v>298</v>
      </c>
      <c r="BD249" s="400"/>
    </row>
    <row r="250" spans="3:71" x14ac:dyDescent="0.2">
      <c r="C250" s="364" t="s">
        <v>78</v>
      </c>
      <c r="D250" s="365"/>
      <c r="E250" s="366"/>
      <c r="F250" s="246"/>
      <c r="G250" s="221"/>
      <c r="H250" s="221"/>
      <c r="I250" s="221"/>
      <c r="J250" s="221"/>
      <c r="K250" s="221"/>
      <c r="L250" s="221"/>
      <c r="M250" s="363"/>
      <c r="N250" s="438"/>
      <c r="O250" s="219"/>
      <c r="P250" s="219"/>
      <c r="AL250" s="202">
        <v>14</v>
      </c>
      <c r="AM250" s="380" t="s">
        <v>303</v>
      </c>
      <c r="AN250" s="381"/>
      <c r="AO250" s="106"/>
      <c r="AP250" s="106"/>
      <c r="AX250" s="42" t="s">
        <v>138</v>
      </c>
      <c r="BB250" s="210">
        <v>23</v>
      </c>
      <c r="BC250" s="398" t="s">
        <v>303</v>
      </c>
      <c r="BD250" s="399"/>
    </row>
    <row r="251" spans="3:71" x14ac:dyDescent="0.2">
      <c r="C251" s="367"/>
      <c r="D251" s="368"/>
      <c r="E251" s="369"/>
      <c r="F251" s="247"/>
      <c r="G251" s="221"/>
      <c r="H251" s="221"/>
      <c r="I251" s="221"/>
      <c r="J251" s="221"/>
      <c r="K251" s="221"/>
      <c r="L251" s="221"/>
      <c r="M251" s="363"/>
      <c r="N251" s="439"/>
      <c r="O251" s="219"/>
      <c r="P251" s="219"/>
      <c r="AL251" s="203">
        <v>14</v>
      </c>
      <c r="AM251" s="378" t="s">
        <v>307</v>
      </c>
      <c r="AN251" s="382"/>
      <c r="AO251" s="106"/>
      <c r="AP251" s="106"/>
      <c r="AV251" s="42" t="s">
        <v>133</v>
      </c>
      <c r="AX251" s="216" t="str">
        <f>F98</f>
        <v>-</v>
      </c>
      <c r="BB251" s="211">
        <v>26</v>
      </c>
      <c r="BC251" s="396" t="s">
        <v>307</v>
      </c>
      <c r="BD251" s="400"/>
    </row>
    <row r="252" spans="3:71" ht="15.75" thickBot="1" x14ac:dyDescent="0.25">
      <c r="C252" s="370"/>
      <c r="D252" s="371"/>
      <c r="E252" s="372"/>
      <c r="F252" s="248"/>
      <c r="G252" s="221"/>
      <c r="H252" s="221"/>
      <c r="I252" s="221"/>
      <c r="J252" s="221"/>
      <c r="K252" s="221"/>
      <c r="L252" s="221"/>
      <c r="M252" s="363"/>
      <c r="N252" s="440"/>
      <c r="O252" s="219"/>
      <c r="P252" s="219"/>
      <c r="AL252" s="202">
        <v>20</v>
      </c>
      <c r="AM252" s="380" t="s">
        <v>312</v>
      </c>
      <c r="AN252" s="381"/>
      <c r="AO252" s="106"/>
      <c r="AP252" s="106"/>
      <c r="AT252" s="42" t="s">
        <v>132</v>
      </c>
      <c r="AV252" s="196" t="str">
        <f>N9</f>
        <v>-</v>
      </c>
      <c r="BB252" s="210">
        <v>29</v>
      </c>
      <c r="BC252" s="398" t="s">
        <v>312</v>
      </c>
      <c r="BD252" s="399"/>
    </row>
    <row r="253" spans="3:71" ht="15.75" thickBot="1" x14ac:dyDescent="0.25">
      <c r="C253" s="416" t="s">
        <v>79</v>
      </c>
      <c r="D253" s="417"/>
      <c r="E253" s="418"/>
      <c r="F253" s="246"/>
      <c r="G253" s="221"/>
      <c r="H253" s="221"/>
      <c r="I253" s="221"/>
      <c r="J253" s="221"/>
      <c r="K253" s="221"/>
      <c r="L253" s="221"/>
      <c r="M253" s="363"/>
      <c r="N253" s="438"/>
      <c r="O253" s="219"/>
      <c r="P253" s="219"/>
      <c r="AL253" s="204">
        <v>26</v>
      </c>
      <c r="AM253" s="378" t="s">
        <v>317</v>
      </c>
      <c r="AN253" s="382"/>
      <c r="AO253" s="106"/>
      <c r="AP253" s="106"/>
      <c r="AT253" s="42">
        <f>IF(L9="feminino",0,1)</f>
        <v>1</v>
      </c>
      <c r="BB253" s="212">
        <v>33</v>
      </c>
      <c r="BC253" s="396" t="s">
        <v>317</v>
      </c>
      <c r="BD253" s="400"/>
    </row>
    <row r="254" spans="3:71" ht="15.75" thickBot="1" x14ac:dyDescent="0.25">
      <c r="C254" s="419"/>
      <c r="D254" s="363"/>
      <c r="E254" s="420"/>
      <c r="F254" s="247"/>
      <c r="G254" s="221"/>
      <c r="H254" s="221"/>
      <c r="I254" s="221"/>
      <c r="J254" s="221"/>
      <c r="K254" s="221"/>
      <c r="L254" s="221"/>
      <c r="M254" s="363"/>
      <c r="N254" s="439"/>
      <c r="O254" s="219"/>
      <c r="P254" s="219"/>
      <c r="AN254" s="106"/>
      <c r="AO254" s="106"/>
      <c r="AP254" s="106"/>
    </row>
    <row r="255" spans="3:71" ht="15.75" thickBot="1" x14ac:dyDescent="0.25">
      <c r="C255" s="421"/>
      <c r="D255" s="413"/>
      <c r="E255" s="422"/>
      <c r="F255" s="248"/>
      <c r="G255" s="221"/>
      <c r="H255" s="221"/>
      <c r="I255" s="221"/>
      <c r="J255" s="221"/>
      <c r="K255" s="221"/>
      <c r="L255" s="221"/>
      <c r="M255" s="363"/>
      <c r="N255" s="440"/>
      <c r="O255" s="219"/>
      <c r="P255" s="219"/>
      <c r="AJ255" s="194"/>
      <c r="AK255" s="195"/>
      <c r="AL255" s="192" t="s">
        <v>352</v>
      </c>
      <c r="AN255" s="187"/>
      <c r="AO255" s="187"/>
      <c r="AP255" s="106"/>
      <c r="BC255" s="192" t="s">
        <v>352</v>
      </c>
    </row>
    <row r="256" spans="3:71" x14ac:dyDescent="0.2">
      <c r="C256" s="367" t="s">
        <v>80</v>
      </c>
      <c r="D256" s="368"/>
      <c r="E256" s="368"/>
      <c r="F256" s="246"/>
      <c r="G256" s="221"/>
      <c r="H256" s="221"/>
      <c r="I256" s="221"/>
      <c r="J256" s="221"/>
      <c r="K256" s="221"/>
      <c r="L256" s="221"/>
      <c r="M256" s="363"/>
      <c r="N256" s="438"/>
      <c r="O256" s="219"/>
      <c r="P256" s="219"/>
      <c r="AL256" s="197">
        <v>8</v>
      </c>
      <c r="AM256" s="378" t="s">
        <v>141</v>
      </c>
      <c r="AN256" s="379"/>
      <c r="AO256" s="119"/>
      <c r="AP256" s="217"/>
      <c r="AT256" s="79"/>
      <c r="AU256" s="79"/>
      <c r="AV256" s="79"/>
      <c r="AW256" s="79"/>
      <c r="BB256" s="205">
        <v>14</v>
      </c>
      <c r="BC256" s="378" t="s">
        <v>141</v>
      </c>
      <c r="BD256" s="379"/>
    </row>
    <row r="257" spans="3:56" x14ac:dyDescent="0.2">
      <c r="C257" s="367"/>
      <c r="D257" s="368"/>
      <c r="E257" s="368"/>
      <c r="F257" s="247"/>
      <c r="G257" s="221"/>
      <c r="H257" s="221"/>
      <c r="I257" s="221"/>
      <c r="J257" s="221"/>
      <c r="K257" s="221"/>
      <c r="L257" s="221"/>
      <c r="M257" s="363"/>
      <c r="N257" s="439"/>
      <c r="O257" s="219"/>
      <c r="P257" s="219"/>
      <c r="AL257" s="198">
        <v>12</v>
      </c>
      <c r="AM257" s="380" t="s">
        <v>140</v>
      </c>
      <c r="AN257" s="381"/>
      <c r="AO257" s="119"/>
      <c r="AP257" s="217"/>
      <c r="AT257" s="79"/>
      <c r="AU257" s="79" t="s">
        <v>359</v>
      </c>
      <c r="AV257" s="79"/>
      <c r="AW257" s="79"/>
      <c r="BB257" s="206">
        <v>18</v>
      </c>
      <c r="BC257" s="380" t="s">
        <v>140</v>
      </c>
      <c r="BD257" s="381"/>
    </row>
    <row r="258" spans="3:56" ht="15.75" thickBot="1" x14ac:dyDescent="0.25">
      <c r="C258" s="367"/>
      <c r="D258" s="368"/>
      <c r="E258" s="368"/>
      <c r="F258" s="248"/>
      <c r="G258" s="221"/>
      <c r="H258" s="221"/>
      <c r="I258" s="221"/>
      <c r="J258" s="221"/>
      <c r="K258" s="221"/>
      <c r="L258" s="221"/>
      <c r="M258" s="363"/>
      <c r="N258" s="440"/>
      <c r="O258" s="219"/>
      <c r="P258" s="219"/>
      <c r="Z258" t="s">
        <v>90</v>
      </c>
      <c r="AL258" s="199">
        <v>16</v>
      </c>
      <c r="AM258" s="378" t="s">
        <v>298</v>
      </c>
      <c r="AN258" s="382"/>
      <c r="AO258" s="119"/>
      <c r="AP258" s="217"/>
      <c r="AT258" s="79"/>
      <c r="AU258" s="386" t="e">
        <f>IF(AND(AT253=0,AV252&lt;=25),VLOOKUP(AX251,BB247:BD253,2,TRUE),IF(AND(AT253=0,AV252&lt;=35),VLOOKUP(AX251,BB256:BD262,2,TRUE),IF(AND(AT253=0,AV252&lt;=45),VLOOKUP(AX251,BB265:BD271,2,TRUE),IF(AND(AT253=0,AV252&lt;=55),VLOOKUP(AX251,BB274:BD280,2,TRUE),IF(AND(AT253=0,AV252&lt;=65),VLOOKUP(AX251,BB283:BD289,2,TRUE),IF(AND(AT253=0,AV252&gt;=65),VLOOKUP(AX251,BB292:BD298,2,TRUE),IF(AND(AT253=1,AV252&lt;=25),VLOOKUP(AX251,AL247:AN253,2,TRUE),IF(AND(AT253=1,AV252&lt;=35),VLOOKUP(AX251,AL256:AN262,2,TRUE),IF(AND(AT253=1,AV252&lt;=45),VLOOKUP(AX251,AL265:AN271,2,TRUE),IF(AND(AT253=1,AV252&lt;=55),VLOOKUP(AX251,AL274:AN280,2,TRUE),IF(AND(AT253=1,AV252&lt;=65),VLOOKUP(AX251,AL283:AN289,2,TRUE),IF(AND(AT253=1,AV252&gt;=65),VLOOKUP(AX251,AL292:AN298,2,TRUE),"-"))))))))))))</f>
        <v>#N/A</v>
      </c>
      <c r="AV258" s="386"/>
      <c r="AW258" s="79"/>
      <c r="BB258" s="207">
        <v>21</v>
      </c>
      <c r="BC258" s="378" t="s">
        <v>298</v>
      </c>
      <c r="BD258" s="382"/>
    </row>
    <row r="259" spans="3:56" x14ac:dyDescent="0.2">
      <c r="C259" s="364" t="s">
        <v>81</v>
      </c>
      <c r="D259" s="365"/>
      <c r="E259" s="366"/>
      <c r="F259" s="246"/>
      <c r="G259" s="221"/>
      <c r="H259" s="221"/>
      <c r="I259" s="221"/>
      <c r="J259" s="221"/>
      <c r="K259" s="221"/>
      <c r="L259" s="221"/>
      <c r="M259" s="363"/>
      <c r="N259" s="438"/>
      <c r="O259" s="219"/>
      <c r="P259" s="219"/>
      <c r="Y259" s="108">
        <v>0</v>
      </c>
      <c r="Z259" t="s">
        <v>87</v>
      </c>
      <c r="AL259" s="198">
        <v>18</v>
      </c>
      <c r="AM259" s="380" t="s">
        <v>303</v>
      </c>
      <c r="AN259" s="381"/>
      <c r="AO259" s="119"/>
      <c r="AP259" s="217"/>
      <c r="AT259" s="79"/>
      <c r="AU259" s="79"/>
      <c r="AV259" s="79"/>
      <c r="AW259" s="79"/>
      <c r="BB259" s="206">
        <v>24</v>
      </c>
      <c r="BC259" s="380" t="s">
        <v>303</v>
      </c>
      <c r="BD259" s="381"/>
    </row>
    <row r="260" spans="3:56" x14ac:dyDescent="0.2">
      <c r="C260" s="367"/>
      <c r="D260" s="368"/>
      <c r="E260" s="369"/>
      <c r="F260" s="247"/>
      <c r="G260" s="221"/>
      <c r="H260" s="221"/>
      <c r="I260" s="221"/>
      <c r="J260" s="221"/>
      <c r="K260" s="221"/>
      <c r="L260" s="221"/>
      <c r="M260" s="363"/>
      <c r="N260" s="439"/>
      <c r="O260" s="219"/>
      <c r="P260" s="219"/>
      <c r="Y260" s="108">
        <v>21</v>
      </c>
      <c r="Z260" t="s">
        <v>63</v>
      </c>
      <c r="AL260" s="199">
        <v>22</v>
      </c>
      <c r="AM260" s="378" t="s">
        <v>307</v>
      </c>
      <c r="AN260" s="382"/>
      <c r="AO260" s="119"/>
      <c r="AP260" s="217"/>
      <c r="BB260" s="207">
        <v>27</v>
      </c>
      <c r="BC260" s="378" t="s">
        <v>307</v>
      </c>
      <c r="BD260" s="382"/>
    </row>
    <row r="261" spans="3:56" ht="15.75" thickBot="1" x14ac:dyDescent="0.25">
      <c r="C261" s="370"/>
      <c r="D261" s="371"/>
      <c r="E261" s="372"/>
      <c r="F261" s="248"/>
      <c r="G261" s="221"/>
      <c r="H261" s="221"/>
      <c r="I261" s="221"/>
      <c r="J261" s="221"/>
      <c r="K261" s="221"/>
      <c r="L261" s="221"/>
      <c r="M261" s="363"/>
      <c r="N261" s="440"/>
      <c r="O261" s="219"/>
      <c r="P261" s="219"/>
      <c r="Y261" s="108">
        <v>31</v>
      </c>
      <c r="Z261" t="s">
        <v>85</v>
      </c>
      <c r="AL261" s="198">
        <v>24</v>
      </c>
      <c r="AM261" s="380" t="s">
        <v>312</v>
      </c>
      <c r="AN261" s="381"/>
      <c r="AO261" s="119"/>
      <c r="AP261" s="217"/>
      <c r="BB261" s="206">
        <v>31</v>
      </c>
      <c r="BC261" s="380" t="s">
        <v>312</v>
      </c>
      <c r="BD261" s="381"/>
    </row>
    <row r="262" spans="3:56" ht="15.75" thickBot="1" x14ac:dyDescent="0.25">
      <c r="C262" s="367" t="s">
        <v>82</v>
      </c>
      <c r="D262" s="368"/>
      <c r="E262" s="368"/>
      <c r="F262" s="246"/>
      <c r="G262" s="221"/>
      <c r="H262" s="221"/>
      <c r="I262" s="221"/>
      <c r="J262" s="221"/>
      <c r="K262" s="221"/>
      <c r="L262" s="221"/>
      <c r="M262" s="363"/>
      <c r="N262" s="458"/>
      <c r="O262" s="219"/>
      <c r="P262" s="219"/>
      <c r="Y262" s="108">
        <v>41</v>
      </c>
      <c r="Z262" t="s">
        <v>86</v>
      </c>
      <c r="AL262" s="200">
        <v>28</v>
      </c>
      <c r="AM262" s="378" t="s">
        <v>317</v>
      </c>
      <c r="AN262" s="382"/>
      <c r="AO262" s="119"/>
      <c r="AP262" s="217"/>
      <c r="BB262" s="208">
        <v>36</v>
      </c>
      <c r="BC262" s="378" t="s">
        <v>317</v>
      </c>
      <c r="BD262" s="382"/>
    </row>
    <row r="263" spans="3:56" ht="15.75" thickBot="1" x14ac:dyDescent="0.25">
      <c r="C263" s="367"/>
      <c r="D263" s="368"/>
      <c r="E263" s="368"/>
      <c r="F263" s="247"/>
      <c r="G263" s="221"/>
      <c r="H263" s="221"/>
      <c r="I263" s="221"/>
      <c r="J263" s="221"/>
      <c r="K263" s="221"/>
      <c r="L263" s="221"/>
      <c r="M263" s="363"/>
      <c r="N263" s="458"/>
      <c r="O263" s="219"/>
      <c r="P263" s="219"/>
      <c r="Y263" s="108">
        <v>51</v>
      </c>
      <c r="Z263" t="s">
        <v>88</v>
      </c>
      <c r="AN263" s="106"/>
      <c r="AO263" s="106"/>
      <c r="AP263" s="106"/>
    </row>
    <row r="264" spans="3:56" ht="15.75" thickBot="1" x14ac:dyDescent="0.25">
      <c r="C264" s="370"/>
      <c r="D264" s="371"/>
      <c r="E264" s="371"/>
      <c r="F264" s="282"/>
      <c r="G264" s="279"/>
      <c r="H264" s="279"/>
      <c r="I264" s="279"/>
      <c r="J264" s="279"/>
      <c r="K264" s="279"/>
      <c r="L264" s="279"/>
      <c r="M264" s="413"/>
      <c r="N264" s="459"/>
      <c r="O264" s="219"/>
      <c r="P264" s="219"/>
      <c r="Y264" s="108">
        <v>60</v>
      </c>
      <c r="Z264" t="s">
        <v>89</v>
      </c>
      <c r="AJ264" s="194"/>
      <c r="AK264" s="195"/>
      <c r="AL264" s="192" t="s">
        <v>353</v>
      </c>
      <c r="AN264" s="187"/>
      <c r="AO264" s="187"/>
      <c r="AP264" s="106"/>
      <c r="BB264" s="192" t="s">
        <v>353</v>
      </c>
    </row>
    <row r="265" spans="3:56" x14ac:dyDescent="0.2"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AL265" s="205">
        <v>10</v>
      </c>
      <c r="AM265" s="378" t="s">
        <v>141</v>
      </c>
      <c r="AN265" s="379"/>
      <c r="AO265" s="106"/>
      <c r="AP265" s="106"/>
      <c r="BB265" s="205">
        <v>16</v>
      </c>
      <c r="BC265" s="378" t="s">
        <v>141</v>
      </c>
      <c r="BD265" s="379"/>
    </row>
    <row r="266" spans="3:56" x14ac:dyDescent="0.2">
      <c r="C266" s="410" t="s">
        <v>84</v>
      </c>
      <c r="D266" s="410"/>
      <c r="E266" s="410"/>
      <c r="F266" s="410"/>
      <c r="G266" s="411" t="str">
        <f>IF(M266&gt;0,VLOOKUP(M266,Y259:AA264,2,TRUE),"-")</f>
        <v>-</v>
      </c>
      <c r="H266" s="412"/>
      <c r="I266" s="219"/>
      <c r="J266" s="219"/>
      <c r="K266" s="410" t="s">
        <v>83</v>
      </c>
      <c r="L266" s="410"/>
      <c r="M266" s="446">
        <f>SUM(N220:N264)</f>
        <v>0</v>
      </c>
      <c r="N266" s="431"/>
      <c r="O266" s="219"/>
      <c r="P266" s="219"/>
      <c r="AL266" s="206">
        <v>16</v>
      </c>
      <c r="AM266" s="380" t="s">
        <v>140</v>
      </c>
      <c r="AN266" s="381"/>
      <c r="AO266" s="106"/>
      <c r="AP266" s="106"/>
      <c r="AW266" s="79" t="str">
        <f>IF(AND(CQ23=0,CS22&lt;=19),VLOOKUP(CU21,CP27:CQ31,2,TRUE),IF(AND(CQ23=0,CS22&lt;=29),VLOOKUP(CU21,CP34:CQ38,2,TRUE),IF(AND(CQ23=0,CS22&lt;=39),VLOOKUP(CU21,CP40:CQ44,2,TRUE),IF(AND(CQ23=0,CS22&lt;=49),VLOOKUP(CU21,CP46:CQ50,2,TRUE),IF(AND(CQ23=0,CS22&lt;=59),VLOOKUP(CU21,CP52:CQ56,2,TRUE),IF(AND(CQ23=0,CS22&lt;=69),VLOOKUP(CU21,CP59:CQ63,2,TRUE),IF(AND(CQ23=1,CS22&lt;=19),VLOOKUP(CU21,CS33:CT37,2,TRUE),IF(AND(CQ23=1,CS22&lt;=29),VLOOKUP(CU21,CS40:CT44,2,TRUE),IF(AND(CQ23=1,CS22&lt;=39),VLOOKUP(CU21,CS46:CT50,2,TRUE),IF(AND(CQ23=1,CS22&lt;=49),VLOOKUP(CU21,CS52:CT56,2,TRUE),IF(AND(CQ23=1,CS22&lt;=59),VLOOKUP(CU21,CS58:CT62,2,TRUE),IF(AND(CQ23=1,CS22&lt;=69),VLOOKUP(CU21,CS65:CT69,2,TRUE),"-"))))))))))))</f>
        <v>-</v>
      </c>
      <c r="BB266" s="206">
        <v>20</v>
      </c>
      <c r="BC266" s="380" t="s">
        <v>140</v>
      </c>
      <c r="BD266" s="381"/>
    </row>
    <row r="267" spans="3:56" x14ac:dyDescent="0.2"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AL267" s="207">
        <v>19</v>
      </c>
      <c r="AM267" s="378" t="s">
        <v>298</v>
      </c>
      <c r="AN267" s="382"/>
      <c r="AO267" s="106"/>
      <c r="AP267" s="106"/>
      <c r="BB267" s="207">
        <v>24</v>
      </c>
      <c r="BC267" s="378" t="s">
        <v>298</v>
      </c>
      <c r="BD267" s="382"/>
    </row>
    <row r="268" spans="3:56" x14ac:dyDescent="0.2"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AL268" s="206">
        <v>21</v>
      </c>
      <c r="AM268" s="380" t="s">
        <v>303</v>
      </c>
      <c r="AN268" s="381"/>
      <c r="AO268" s="106"/>
      <c r="AP268" s="106"/>
      <c r="BB268" s="206">
        <v>27</v>
      </c>
      <c r="BC268" s="380" t="s">
        <v>303</v>
      </c>
      <c r="BD268" s="381"/>
    </row>
    <row r="269" spans="3:56" x14ac:dyDescent="0.2">
      <c r="C269" s="362" t="s">
        <v>213</v>
      </c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AL269" s="207">
        <v>24</v>
      </c>
      <c r="AM269" s="378" t="s">
        <v>307</v>
      </c>
      <c r="AN269" s="382"/>
      <c r="AO269" s="106"/>
      <c r="AP269" s="106"/>
      <c r="BB269" s="207">
        <v>30</v>
      </c>
      <c r="BC269" s="378" t="s">
        <v>307</v>
      </c>
      <c r="BD269" s="382"/>
    </row>
    <row r="270" spans="3:56" x14ac:dyDescent="0.2">
      <c r="C270" s="238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7"/>
      <c r="AL270" s="206">
        <v>27</v>
      </c>
      <c r="AM270" s="380" t="s">
        <v>312</v>
      </c>
      <c r="AN270" s="381"/>
      <c r="AO270" s="106"/>
      <c r="AP270" s="106"/>
      <c r="AU270" t="str">
        <f>IF(AND(CO27=0,CQ26&lt;=19),VLOOKUP(CS25,CN31:CO35,2,TRUE),IF(AND(CO27=0,CQ26&lt;=29),VLOOKUP(CS25,CN38:CO42,2,TRUE),IF(AND(CO27=0,CQ26&lt;=39),VLOOKUP(CS25,CN44:CO48,2,TRUE),IF(AND(CO27=0,CQ26&lt;=49),VLOOKUP(CS25,CN50:CO54,2,TRUE),IF(AND(CO27=0,CQ26&lt;=59),VLOOKUP(CS25,CN56:CO60,2,TRUE),IF(AND(CO27=0,CQ26&lt;=69),VLOOKUP(CS25,CN63:CO67,2,TRUE),IF(AND(CO27=1,CQ26&lt;=19),VLOOKUP(CS25,CQ37:CR41,2,TRUE),IF(AND(CO27=1,CQ26&lt;=29),VLOOKUP(CS25,CQ44:CR48,2,TRUE),IF(AND(CO27=1,CQ26&lt;=39),VLOOKUP(CS25,CQ50:CR54,2,TRUE),IF(AND(CO27=1,CQ26&lt;=49),VLOOKUP(CS25,CQ56:CR60,2,TRUE),IF(AND(CO27=1,CQ26&lt;=59),VLOOKUP(CS25,CQ62:CR66,2,TRUE),IF(AND(CO27=1,CQ26&lt;=69),VLOOKUP(CS25,CQ69:CR73,2,TRUE),"-"))))))))))))</f>
        <v>-</v>
      </c>
      <c r="BB270" s="206">
        <v>33</v>
      </c>
      <c r="BC270" s="380" t="s">
        <v>312</v>
      </c>
      <c r="BD270" s="381"/>
    </row>
    <row r="271" spans="3:56" ht="15.75" thickBot="1" x14ac:dyDescent="0.25">
      <c r="C271" s="240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78"/>
      <c r="AL271" s="208">
        <v>30</v>
      </c>
      <c r="AM271" s="378" t="s">
        <v>317</v>
      </c>
      <c r="AN271" s="382"/>
      <c r="AO271" s="106"/>
      <c r="AP271" s="106"/>
      <c r="BB271" s="208">
        <v>38</v>
      </c>
      <c r="BC271" s="378" t="s">
        <v>317</v>
      </c>
      <c r="BD271" s="382"/>
    </row>
    <row r="272" spans="3:56" ht="15.75" thickBot="1" x14ac:dyDescent="0.25">
      <c r="C272" s="240"/>
      <c r="D272" s="221"/>
      <c r="E272" s="221"/>
      <c r="F272" s="221"/>
      <c r="G272" s="221"/>
      <c r="H272" s="377" t="s">
        <v>149</v>
      </c>
      <c r="I272" s="377"/>
      <c r="J272" s="377"/>
      <c r="K272" s="377"/>
      <c r="L272" s="263"/>
      <c r="M272" s="221"/>
      <c r="N272" s="221"/>
      <c r="O272" s="221"/>
      <c r="P272" s="278"/>
      <c r="AN272" s="106"/>
      <c r="AO272" s="106"/>
      <c r="AP272" s="106"/>
    </row>
    <row r="273" spans="3:56" ht="15.75" thickBot="1" x14ac:dyDescent="0.25">
      <c r="C273" s="240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78"/>
      <c r="AJ273" s="194"/>
      <c r="AK273" s="195"/>
      <c r="AL273" s="192" t="s">
        <v>354</v>
      </c>
      <c r="AN273" s="187"/>
      <c r="AO273" s="187"/>
      <c r="AP273" s="106"/>
      <c r="BB273" s="192" t="s">
        <v>354</v>
      </c>
    </row>
    <row r="274" spans="3:56" x14ac:dyDescent="0.2">
      <c r="C274" s="240"/>
      <c r="D274" s="221"/>
      <c r="E274" s="221"/>
      <c r="F274" s="221"/>
      <c r="G274" s="221"/>
      <c r="H274" s="221"/>
      <c r="I274" s="221"/>
      <c r="J274" s="231" t="s">
        <v>150</v>
      </c>
      <c r="K274" s="221"/>
      <c r="L274" s="232" t="str">
        <f>IF(L272="","-",'Avaliação Física 1'!CH20)</f>
        <v>-</v>
      </c>
      <c r="M274" s="221"/>
      <c r="N274" s="221"/>
      <c r="O274" s="221"/>
      <c r="P274" s="278"/>
      <c r="AL274" s="205">
        <v>12</v>
      </c>
      <c r="AM274" s="378" t="s">
        <v>141</v>
      </c>
      <c r="AN274" s="379"/>
      <c r="AO274" s="106"/>
      <c r="AP274" s="106"/>
      <c r="BB274" s="205">
        <v>14</v>
      </c>
      <c r="BC274" s="378" t="s">
        <v>141</v>
      </c>
      <c r="BD274" s="379"/>
    </row>
    <row r="275" spans="3:56" x14ac:dyDescent="0.2">
      <c r="C275" s="240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78"/>
      <c r="AL275" s="206">
        <v>18</v>
      </c>
      <c r="AM275" s="380" t="s">
        <v>140</v>
      </c>
      <c r="AN275" s="381"/>
      <c r="AO275" s="106"/>
      <c r="AP275" s="106"/>
      <c r="BB275" s="206">
        <v>23</v>
      </c>
      <c r="BC275" s="380" t="s">
        <v>140</v>
      </c>
      <c r="BD275" s="381"/>
    </row>
    <row r="276" spans="3:56" x14ac:dyDescent="0.2">
      <c r="C276" s="241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80"/>
      <c r="AL276" s="207">
        <v>21</v>
      </c>
      <c r="AM276" s="378" t="s">
        <v>298</v>
      </c>
      <c r="AN276" s="382"/>
      <c r="AO276" s="106"/>
      <c r="AP276" s="106"/>
      <c r="BB276" s="207">
        <v>26</v>
      </c>
      <c r="BC276" s="378" t="s">
        <v>298</v>
      </c>
      <c r="BD276" s="382"/>
    </row>
    <row r="277" spans="3:56" x14ac:dyDescent="0.2">
      <c r="AL277" s="206">
        <v>24</v>
      </c>
      <c r="AM277" s="380" t="s">
        <v>303</v>
      </c>
      <c r="AN277" s="381"/>
      <c r="AO277" s="106"/>
      <c r="AP277" s="106"/>
      <c r="BB277" s="206">
        <v>29</v>
      </c>
      <c r="BC277" s="380" t="s">
        <v>303</v>
      </c>
      <c r="BD277" s="381"/>
    </row>
    <row r="278" spans="3:56" x14ac:dyDescent="0.2">
      <c r="C278" s="362" t="s">
        <v>214</v>
      </c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AL278" s="207">
        <v>26</v>
      </c>
      <c r="AM278" s="378" t="s">
        <v>307</v>
      </c>
      <c r="AN278" s="382"/>
      <c r="AO278" s="106"/>
      <c r="AP278" s="106"/>
      <c r="BB278" s="207">
        <v>32</v>
      </c>
      <c r="BC278" s="378" t="s">
        <v>307</v>
      </c>
      <c r="BD278" s="382"/>
    </row>
    <row r="279" spans="3:56" x14ac:dyDescent="0.2">
      <c r="C279" s="238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7"/>
      <c r="AL279" s="206">
        <v>28</v>
      </c>
      <c r="AM279" s="380" t="s">
        <v>312</v>
      </c>
      <c r="AN279" s="381"/>
      <c r="AO279" s="106"/>
      <c r="AP279" s="106"/>
      <c r="BB279" s="206">
        <v>35</v>
      </c>
      <c r="BC279" s="380" t="s">
        <v>312</v>
      </c>
      <c r="BD279" s="381"/>
    </row>
    <row r="280" spans="3:56" ht="15.75" thickBot="1" x14ac:dyDescent="0.25">
      <c r="C280" s="240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78"/>
      <c r="AL280" s="208">
        <v>32</v>
      </c>
      <c r="AM280" s="378" t="s">
        <v>317</v>
      </c>
      <c r="AN280" s="382"/>
      <c r="AO280" s="106"/>
      <c r="AP280" s="106"/>
      <c r="BB280" s="208">
        <v>39</v>
      </c>
      <c r="BC280" s="378" t="s">
        <v>317</v>
      </c>
      <c r="BD280" s="382"/>
    </row>
    <row r="281" spans="3:56" ht="15.75" thickBot="1" x14ac:dyDescent="0.25">
      <c r="C281" s="240"/>
      <c r="D281" s="221"/>
      <c r="E281" s="221"/>
      <c r="F281" s="221"/>
      <c r="G281" s="221"/>
      <c r="H281" s="377" t="s">
        <v>149</v>
      </c>
      <c r="I281" s="377"/>
      <c r="J281" s="377"/>
      <c r="K281" s="377"/>
      <c r="L281" s="263"/>
      <c r="M281" s="221"/>
      <c r="N281" s="221"/>
      <c r="O281" s="221"/>
      <c r="P281" s="278"/>
      <c r="AN281" s="106"/>
      <c r="AO281" s="106"/>
      <c r="AP281" s="106"/>
    </row>
    <row r="282" spans="3:56" ht="15.75" thickBot="1" x14ac:dyDescent="0.25">
      <c r="C282" s="240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78"/>
      <c r="AJ282" s="194"/>
      <c r="AK282" s="195"/>
      <c r="AL282" s="192" t="s">
        <v>355</v>
      </c>
      <c r="AN282" s="187"/>
      <c r="AO282" s="187"/>
      <c r="AP282" s="106"/>
      <c r="BB282" s="192" t="s">
        <v>355</v>
      </c>
    </row>
    <row r="283" spans="3:56" x14ac:dyDescent="0.2">
      <c r="C283" s="240"/>
      <c r="D283" s="221"/>
      <c r="E283" s="221"/>
      <c r="F283" s="221"/>
      <c r="G283" s="221"/>
      <c r="H283" s="221"/>
      <c r="I283" s="221"/>
      <c r="J283" s="231" t="s">
        <v>150</v>
      </c>
      <c r="K283" s="231"/>
      <c r="L283" s="232" t="str">
        <f>IF(L281="","-",'Avaliação Física 1'!CH12)</f>
        <v>-</v>
      </c>
      <c r="M283" s="221"/>
      <c r="N283" s="221"/>
      <c r="O283" s="221"/>
      <c r="P283" s="278"/>
      <c r="AL283" s="205">
        <v>13</v>
      </c>
      <c r="AM283" s="378" t="s">
        <v>141</v>
      </c>
      <c r="AN283" s="379"/>
      <c r="AO283" s="106"/>
      <c r="AP283" s="106"/>
      <c r="BB283" s="205">
        <v>18</v>
      </c>
      <c r="BC283" s="378" t="s">
        <v>141</v>
      </c>
      <c r="BD283" s="379"/>
    </row>
    <row r="284" spans="3:56" x14ac:dyDescent="0.2">
      <c r="C284" s="240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78"/>
      <c r="AL284" s="206">
        <v>20</v>
      </c>
      <c r="AM284" s="380" t="s">
        <v>140</v>
      </c>
      <c r="AN284" s="381"/>
      <c r="AO284" s="106"/>
      <c r="AP284" s="106"/>
      <c r="BB284" s="206">
        <v>25</v>
      </c>
      <c r="BC284" s="380" t="s">
        <v>140</v>
      </c>
      <c r="BD284" s="381"/>
    </row>
    <row r="285" spans="3:56" x14ac:dyDescent="0.2">
      <c r="C285" s="241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80"/>
      <c r="AL285" s="207">
        <v>22</v>
      </c>
      <c r="AM285" s="378" t="s">
        <v>298</v>
      </c>
      <c r="AN285" s="382"/>
      <c r="AO285" s="106"/>
      <c r="AP285" s="106"/>
      <c r="BB285" s="207">
        <v>27</v>
      </c>
      <c r="BC285" s="378" t="s">
        <v>298</v>
      </c>
      <c r="BD285" s="382"/>
    </row>
    <row r="286" spans="3:56" x14ac:dyDescent="0.2">
      <c r="O286" s="91"/>
      <c r="AL286" s="206">
        <v>24</v>
      </c>
      <c r="AM286" s="380" t="s">
        <v>303</v>
      </c>
      <c r="AN286" s="381"/>
      <c r="AO286" s="106"/>
      <c r="AP286" s="106"/>
      <c r="BB286" s="206">
        <v>30</v>
      </c>
      <c r="BC286" s="380" t="s">
        <v>303</v>
      </c>
      <c r="BD286" s="381"/>
    </row>
    <row r="287" spans="3:56" x14ac:dyDescent="0.2">
      <c r="C287" s="362" t="s">
        <v>230</v>
      </c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AL287" s="207">
        <v>26</v>
      </c>
      <c r="AM287" s="378" t="s">
        <v>307</v>
      </c>
      <c r="AN287" s="382"/>
      <c r="AO287" s="106"/>
      <c r="AP287" s="106"/>
      <c r="BB287" s="207">
        <v>33</v>
      </c>
      <c r="BC287" s="378" t="s">
        <v>307</v>
      </c>
      <c r="BD287" s="382"/>
    </row>
    <row r="288" spans="3:56" x14ac:dyDescent="0.2">
      <c r="C288" s="238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7"/>
      <c r="AL288" s="206">
        <v>28</v>
      </c>
      <c r="AM288" s="380" t="s">
        <v>312</v>
      </c>
      <c r="AN288" s="381"/>
      <c r="AO288" s="106"/>
      <c r="AP288" s="106"/>
      <c r="BB288" s="206">
        <v>36</v>
      </c>
      <c r="BC288" s="380" t="s">
        <v>312</v>
      </c>
      <c r="BD288" s="381"/>
    </row>
    <row r="289" spans="3:56" ht="15.75" thickBot="1" x14ac:dyDescent="0.25">
      <c r="C289" s="491" t="s">
        <v>275</v>
      </c>
      <c r="D289" s="492"/>
      <c r="E289" s="492"/>
      <c r="F289" s="492"/>
      <c r="G289" s="221"/>
      <c r="H289" s="355" t="s">
        <v>231</v>
      </c>
      <c r="I289" s="355"/>
      <c r="J289" s="221"/>
      <c r="K289" s="355" t="s">
        <v>198</v>
      </c>
      <c r="L289" s="355"/>
      <c r="M289" s="355"/>
      <c r="N289" s="355"/>
      <c r="O289" s="221"/>
      <c r="P289" s="278"/>
      <c r="T289" s="21"/>
      <c r="AL289" s="208">
        <v>32</v>
      </c>
      <c r="AM289" s="378" t="s">
        <v>317</v>
      </c>
      <c r="AN289" s="382"/>
      <c r="AO289" s="106"/>
      <c r="AP289" s="106"/>
      <c r="BB289" s="208">
        <v>39</v>
      </c>
      <c r="BC289" s="378" t="s">
        <v>317</v>
      </c>
      <c r="BD289" s="382"/>
    </row>
    <row r="290" spans="3:56" ht="15.75" thickBot="1" x14ac:dyDescent="0.25">
      <c r="C290" s="240"/>
      <c r="D290" s="414"/>
      <c r="E290" s="415"/>
      <c r="F290" s="221"/>
      <c r="G290" s="221"/>
      <c r="H290" s="444" t="str">
        <f>IF(D290="","-",((D290/1000)*60)/12)</f>
        <v>-</v>
      </c>
      <c r="I290" s="445"/>
      <c r="J290" s="221"/>
      <c r="K290" s="221"/>
      <c r="L290" s="427" t="str">
        <f>IF(D290="","-",('Avaliação Física 1'!D290-504)/45)</f>
        <v>-</v>
      </c>
      <c r="M290" s="428"/>
      <c r="N290" s="429"/>
      <c r="O290" s="221"/>
      <c r="P290" s="278"/>
      <c r="AN290" s="106"/>
      <c r="AO290" s="106"/>
      <c r="AP290" s="106"/>
    </row>
    <row r="291" spans="3:56" ht="15.75" thickBot="1" x14ac:dyDescent="0.25">
      <c r="C291" s="240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78"/>
      <c r="AJ291" s="194"/>
      <c r="AK291" s="195"/>
      <c r="AL291" s="192" t="s">
        <v>356</v>
      </c>
      <c r="AN291" s="187"/>
      <c r="AO291" s="187"/>
      <c r="AP291" s="106"/>
      <c r="BB291" s="192" t="s">
        <v>356</v>
      </c>
    </row>
    <row r="292" spans="3:56" x14ac:dyDescent="0.2">
      <c r="C292" s="240"/>
      <c r="D292" s="355" t="s">
        <v>232</v>
      </c>
      <c r="E292" s="355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78"/>
      <c r="AL292" s="205">
        <v>14</v>
      </c>
      <c r="AM292" s="378" t="s">
        <v>141</v>
      </c>
      <c r="AN292" s="379"/>
      <c r="AO292" s="106"/>
      <c r="AP292" s="106"/>
      <c r="BB292" s="205">
        <v>16</v>
      </c>
      <c r="BC292" s="378" t="s">
        <v>141</v>
      </c>
      <c r="BD292" s="379"/>
    </row>
    <row r="293" spans="3:56" x14ac:dyDescent="0.2">
      <c r="C293" s="240"/>
      <c r="D293" s="430" t="str">
        <f>IF(D290="","-",DN12)</f>
        <v>-</v>
      </c>
      <c r="E293" s="43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78"/>
      <c r="AL293" s="206">
        <v>19</v>
      </c>
      <c r="AM293" s="380" t="s">
        <v>140</v>
      </c>
      <c r="AN293" s="381"/>
      <c r="AO293" s="106"/>
      <c r="AP293" s="106"/>
      <c r="BB293" s="206">
        <v>22</v>
      </c>
      <c r="BC293" s="380" t="s">
        <v>140</v>
      </c>
      <c r="BD293" s="381"/>
    </row>
    <row r="294" spans="3:56" x14ac:dyDescent="0.2">
      <c r="C294" s="241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80"/>
      <c r="AL294" s="207">
        <v>22</v>
      </c>
      <c r="AM294" s="378" t="s">
        <v>298</v>
      </c>
      <c r="AN294" s="382"/>
      <c r="BB294" s="207">
        <v>27</v>
      </c>
      <c r="BC294" s="378" t="s">
        <v>298</v>
      </c>
      <c r="BD294" s="382"/>
    </row>
    <row r="295" spans="3:56" x14ac:dyDescent="0.2">
      <c r="AL295" s="206">
        <v>23</v>
      </c>
      <c r="AM295" s="380" t="s">
        <v>303</v>
      </c>
      <c r="AN295" s="381"/>
      <c r="BB295" s="206">
        <v>30</v>
      </c>
      <c r="BC295" s="380" t="s">
        <v>303</v>
      </c>
      <c r="BD295" s="381"/>
    </row>
    <row r="296" spans="3:56" x14ac:dyDescent="0.2">
      <c r="C296" s="362" t="s">
        <v>223</v>
      </c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AL296" s="207">
        <v>25</v>
      </c>
      <c r="AM296" s="378" t="s">
        <v>307</v>
      </c>
      <c r="AN296" s="382"/>
      <c r="BB296" s="207">
        <v>32</v>
      </c>
      <c r="BC296" s="378" t="s">
        <v>307</v>
      </c>
      <c r="BD296" s="382"/>
    </row>
    <row r="297" spans="3:56" x14ac:dyDescent="0.2">
      <c r="C297" s="447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9"/>
      <c r="Q297" s="93"/>
      <c r="R297" s="94"/>
      <c r="S297" s="94"/>
      <c r="T297" s="95"/>
      <c r="U297" s="95"/>
      <c r="V297" s="95"/>
      <c r="W297" s="95"/>
      <c r="AA297" s="95"/>
      <c r="AL297" s="206">
        <v>27</v>
      </c>
      <c r="AM297" s="380" t="s">
        <v>312</v>
      </c>
      <c r="AN297" s="381"/>
      <c r="BB297" s="206">
        <v>35</v>
      </c>
      <c r="BC297" s="380" t="s">
        <v>312</v>
      </c>
      <c r="BD297" s="381"/>
    </row>
    <row r="298" spans="3:56" ht="15.75" thickBot="1" x14ac:dyDescent="0.25">
      <c r="C298" s="450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2"/>
      <c r="Q298" s="93"/>
      <c r="R298" s="94"/>
      <c r="S298" s="94"/>
      <c r="T298" s="95"/>
      <c r="U298" s="95"/>
      <c r="V298" s="95"/>
      <c r="W298" s="95"/>
      <c r="AA298" s="95"/>
      <c r="AL298" s="208">
        <v>31</v>
      </c>
      <c r="AM298" s="378" t="s">
        <v>317</v>
      </c>
      <c r="AN298" s="382"/>
      <c r="BB298" s="208">
        <v>38</v>
      </c>
      <c r="BC298" s="378" t="s">
        <v>317</v>
      </c>
      <c r="BD298" s="382"/>
    </row>
    <row r="299" spans="3:56" x14ac:dyDescent="0.2">
      <c r="C299" s="450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2"/>
      <c r="Q299" s="93"/>
      <c r="R299" s="94"/>
      <c r="S299" s="94"/>
      <c r="T299" s="99"/>
      <c r="U299" s="95"/>
      <c r="V299" s="95"/>
      <c r="W299" s="95"/>
      <c r="AA299" s="95"/>
    </row>
    <row r="300" spans="3:56" x14ac:dyDescent="0.2">
      <c r="C300" s="450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2"/>
      <c r="Q300" s="96"/>
      <c r="R300" s="94"/>
      <c r="S300" s="94"/>
      <c r="T300" s="95"/>
      <c r="U300" s="95"/>
      <c r="V300" s="95"/>
      <c r="W300" s="95"/>
      <c r="AA300" s="95"/>
    </row>
    <row r="301" spans="3:56" x14ac:dyDescent="0.2">
      <c r="C301" s="450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2"/>
      <c r="Q301" s="93"/>
      <c r="R301" s="94"/>
      <c r="S301" s="94"/>
      <c r="T301" s="95"/>
      <c r="U301" s="95"/>
      <c r="V301" s="95"/>
      <c r="W301" s="95"/>
      <c r="X301" s="95"/>
      <c r="Y301" s="95"/>
      <c r="Z301" s="95"/>
      <c r="AA301" s="95"/>
    </row>
    <row r="302" spans="3:56" x14ac:dyDescent="0.2">
      <c r="C302" s="450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2"/>
      <c r="Q302" s="93"/>
      <c r="R302" s="94"/>
      <c r="S302" s="94"/>
      <c r="T302" s="95"/>
      <c r="U302" s="95"/>
      <c r="V302" s="95"/>
      <c r="W302" s="95"/>
      <c r="X302" s="95"/>
      <c r="Y302" s="95"/>
      <c r="Z302" s="95"/>
      <c r="AA302" s="95"/>
    </row>
    <row r="303" spans="3:56" x14ac:dyDescent="0.2">
      <c r="C303" s="450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2"/>
      <c r="Q303" s="93"/>
      <c r="R303" s="94"/>
      <c r="S303" s="94"/>
      <c r="T303" s="95"/>
      <c r="U303" s="95"/>
      <c r="V303" s="95"/>
      <c r="W303" s="95"/>
      <c r="X303" s="95"/>
      <c r="Y303" s="95"/>
      <c r="Z303" s="95"/>
      <c r="AA303" s="95"/>
    </row>
    <row r="304" spans="3:56" x14ac:dyDescent="0.2">
      <c r="C304" s="450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2"/>
      <c r="Q304" s="93"/>
      <c r="R304" s="94"/>
      <c r="S304" s="94"/>
      <c r="T304" s="95"/>
      <c r="U304" s="95"/>
      <c r="V304" s="95"/>
      <c r="W304" s="95"/>
      <c r="X304" s="408"/>
      <c r="Y304" s="409"/>
      <c r="Z304" s="95"/>
      <c r="AA304" s="95"/>
    </row>
    <row r="305" spans="3:27" x14ac:dyDescent="0.2">
      <c r="C305" s="450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2"/>
      <c r="Q305" s="93"/>
      <c r="R305" s="94"/>
      <c r="S305" s="94"/>
      <c r="T305" s="95"/>
      <c r="U305" s="95"/>
      <c r="V305" s="95"/>
      <c r="W305" s="95"/>
      <c r="X305" s="95"/>
      <c r="Y305" s="95"/>
      <c r="Z305" s="95"/>
      <c r="AA305" s="95"/>
    </row>
    <row r="306" spans="3:27" x14ac:dyDescent="0.2">
      <c r="C306" s="450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2"/>
      <c r="Q306" s="93"/>
      <c r="R306" s="94"/>
      <c r="S306" s="94"/>
      <c r="T306" s="95"/>
      <c r="U306" s="95"/>
      <c r="V306" s="95"/>
      <c r="W306" s="95"/>
      <c r="X306" s="95"/>
      <c r="Y306" s="95"/>
      <c r="Z306" s="95"/>
      <c r="AA306" s="95"/>
    </row>
    <row r="307" spans="3:27" x14ac:dyDescent="0.2">
      <c r="C307" s="450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2"/>
      <c r="Q307" s="93"/>
      <c r="R307" s="94"/>
      <c r="S307" s="94"/>
      <c r="T307" s="95"/>
      <c r="U307" s="95"/>
      <c r="V307" s="95"/>
      <c r="W307" s="95"/>
      <c r="X307" s="95"/>
      <c r="Y307" s="95"/>
      <c r="Z307" s="95"/>
      <c r="AA307" s="95"/>
    </row>
    <row r="308" spans="3:27" x14ac:dyDescent="0.2">
      <c r="C308" s="450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2"/>
      <c r="Q308" s="93"/>
      <c r="R308" s="94"/>
      <c r="S308" s="94"/>
      <c r="T308" s="95"/>
      <c r="U308" s="95"/>
      <c r="V308" s="95"/>
      <c r="W308" s="95"/>
      <c r="X308" s="95"/>
      <c r="Y308" s="95"/>
      <c r="Z308" s="95"/>
      <c r="AA308" s="95"/>
    </row>
    <row r="309" spans="3:27" x14ac:dyDescent="0.2">
      <c r="C309" s="450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2"/>
      <c r="Q309" s="93"/>
      <c r="R309" s="94"/>
      <c r="S309" s="94"/>
      <c r="T309" s="95"/>
      <c r="U309" s="95"/>
      <c r="V309" s="95"/>
      <c r="W309" s="95"/>
      <c r="X309" s="95"/>
      <c r="Y309" s="95"/>
      <c r="Z309" s="95"/>
      <c r="AA309" s="95"/>
    </row>
    <row r="310" spans="3:27" x14ac:dyDescent="0.2">
      <c r="C310" s="450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2"/>
      <c r="Q310" s="93"/>
      <c r="R310" s="94"/>
      <c r="S310" s="94"/>
      <c r="T310" s="95"/>
      <c r="U310" s="95"/>
      <c r="V310" s="95"/>
      <c r="W310" s="95"/>
      <c r="X310" s="95"/>
      <c r="Y310" s="95"/>
      <c r="Z310" s="95"/>
      <c r="AA310" s="95"/>
    </row>
    <row r="311" spans="3:27" x14ac:dyDescent="0.2">
      <c r="C311" s="450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2"/>
      <c r="Q311" s="93"/>
      <c r="R311" s="96"/>
      <c r="S311" s="94"/>
      <c r="T311" s="97"/>
      <c r="U311" s="97"/>
      <c r="V311" s="97"/>
      <c r="W311" s="97"/>
      <c r="X311" s="100"/>
      <c r="Y311" s="100"/>
      <c r="Z311" s="95"/>
      <c r="AA311" s="97"/>
    </row>
    <row r="312" spans="3:27" x14ac:dyDescent="0.2">
      <c r="C312" s="450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2"/>
      <c r="Q312" s="93"/>
      <c r="R312" s="96"/>
      <c r="S312" s="96"/>
      <c r="T312" s="96"/>
      <c r="U312" s="96"/>
      <c r="V312" s="96"/>
      <c r="W312" s="98"/>
      <c r="X312" s="95"/>
      <c r="Y312" s="95"/>
      <c r="Z312" s="95"/>
      <c r="AA312" s="97"/>
    </row>
    <row r="313" spans="3:27" x14ac:dyDescent="0.2">
      <c r="C313" s="450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2"/>
      <c r="Q313" s="93"/>
      <c r="R313" s="94"/>
      <c r="S313" s="94"/>
      <c r="T313" s="97"/>
      <c r="U313" s="97"/>
      <c r="V313" s="97"/>
      <c r="W313" s="97"/>
      <c r="X313" s="95"/>
      <c r="Y313" s="95"/>
      <c r="Z313" s="95"/>
      <c r="AA313" s="97"/>
    </row>
    <row r="314" spans="3:27" x14ac:dyDescent="0.2">
      <c r="C314" s="450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2"/>
      <c r="Q314" s="93"/>
      <c r="R314" s="94"/>
      <c r="S314" s="94"/>
      <c r="T314" s="97"/>
      <c r="U314" s="97"/>
      <c r="V314" s="97"/>
      <c r="W314" s="97"/>
      <c r="X314" s="95"/>
      <c r="Y314" s="95"/>
      <c r="Z314" s="95"/>
      <c r="AA314" s="97"/>
    </row>
    <row r="315" spans="3:27" x14ac:dyDescent="0.2">
      <c r="C315" s="450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2"/>
      <c r="Q315" s="93"/>
      <c r="R315" s="94"/>
      <c r="S315" s="94"/>
      <c r="T315" s="97"/>
      <c r="U315" s="97"/>
      <c r="V315" s="97"/>
      <c r="W315" s="97"/>
      <c r="X315" s="441"/>
      <c r="Y315" s="441"/>
      <c r="Z315" s="96"/>
      <c r="AA315" s="97"/>
    </row>
    <row r="316" spans="3:27" x14ac:dyDescent="0.2">
      <c r="C316" s="453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5"/>
      <c r="Q316" s="93"/>
      <c r="R316" s="94"/>
      <c r="S316" s="94"/>
      <c r="T316" s="97"/>
      <c r="U316" s="97"/>
      <c r="V316" s="97"/>
      <c r="W316" s="97"/>
      <c r="X316" s="97"/>
      <c r="Y316" s="97"/>
      <c r="Z316" s="97"/>
      <c r="AA316" s="97"/>
    </row>
    <row r="317" spans="3:27" x14ac:dyDescent="0.2">
      <c r="O317" s="103"/>
      <c r="P317" s="103"/>
      <c r="Q317" s="103"/>
      <c r="R317" s="103"/>
      <c r="S317" s="103"/>
      <c r="T317" s="103"/>
      <c r="U317" s="103"/>
      <c r="V317" s="103"/>
      <c r="W317" s="103"/>
      <c r="X317" s="93"/>
      <c r="Y317" s="97"/>
      <c r="Z317" s="97"/>
      <c r="AA317" s="95"/>
    </row>
    <row r="318" spans="3:27" x14ac:dyDescent="0.2">
      <c r="D318" s="442" t="s">
        <v>215</v>
      </c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103"/>
      <c r="P318" s="103"/>
      <c r="Q318" s="103"/>
      <c r="R318" s="103"/>
      <c r="S318" s="103"/>
      <c r="T318" s="103"/>
      <c r="U318" s="103"/>
      <c r="V318" s="103"/>
      <c r="W318" s="103"/>
      <c r="X318" s="93"/>
      <c r="Y318" s="97"/>
      <c r="Z318" s="97"/>
      <c r="AA318" s="95"/>
    </row>
    <row r="319" spans="3:27" x14ac:dyDescent="0.2">
      <c r="D319" s="442" t="s">
        <v>216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104"/>
      <c r="P319" s="104"/>
      <c r="Q319" s="104"/>
      <c r="R319" s="104"/>
      <c r="S319" s="104"/>
      <c r="T319" s="104"/>
      <c r="U319" s="104"/>
      <c r="V319" s="104"/>
      <c r="W319" s="104"/>
      <c r="X319" s="93"/>
      <c r="Y319" s="97"/>
      <c r="Z319" s="97"/>
      <c r="AA319" s="101"/>
    </row>
    <row r="320" spans="3:27" x14ac:dyDescent="0.2">
      <c r="D320" s="443" t="s">
        <v>217</v>
      </c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101"/>
      <c r="P320" s="101"/>
      <c r="Q320" s="101"/>
      <c r="R320" s="101"/>
      <c r="S320" s="101"/>
      <c r="T320" s="101"/>
      <c r="U320" s="101"/>
      <c r="V320" s="101"/>
      <c r="W320" s="101"/>
      <c r="X320" s="93"/>
      <c r="Y320" s="97"/>
      <c r="Z320" s="97"/>
      <c r="AA320" s="101"/>
    </row>
    <row r="321" spans="4:27" x14ac:dyDescent="0.2"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3"/>
      <c r="Y321" s="103"/>
      <c r="Z321" s="103"/>
      <c r="AA321" s="101"/>
    </row>
    <row r="322" spans="4:27" x14ac:dyDescent="0.2">
      <c r="D322" s="101"/>
      <c r="E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3"/>
      <c r="Y322" s="103"/>
      <c r="Z322" s="103"/>
      <c r="AA322" s="101"/>
    </row>
    <row r="323" spans="4:27" x14ac:dyDescent="0.2">
      <c r="F323" s="404"/>
      <c r="G323" s="404"/>
      <c r="H323" s="404"/>
      <c r="I323" s="404"/>
      <c r="J323" s="404"/>
      <c r="K323" s="404"/>
      <c r="L323" s="404"/>
      <c r="X323" s="104"/>
      <c r="Y323" s="104"/>
      <c r="Z323" s="104"/>
    </row>
    <row r="324" spans="4:27" x14ac:dyDescent="0.2">
      <c r="X324" s="101"/>
      <c r="Y324" s="101"/>
      <c r="Z324" s="101"/>
    </row>
    <row r="325" spans="4:27" hidden="1" x14ac:dyDescent="0.2">
      <c r="X325" s="101"/>
      <c r="Y325" s="101"/>
      <c r="Z325" s="101"/>
    </row>
    <row r="326" spans="4:27" hidden="1" x14ac:dyDescent="0.2">
      <c r="X326" s="101"/>
      <c r="Y326" s="101"/>
      <c r="Z326" s="101"/>
    </row>
    <row r="327" spans="4:27" hidden="1" x14ac:dyDescent="0.2"/>
    <row r="328" spans="4:27" hidden="1" x14ac:dyDescent="0.2"/>
  </sheetData>
  <sheetProtection algorithmName="SHA-512" hashValue="8UfSdL1fF2lQwpsPkWVgCFEqlMZh2G+v7p4cFpVQpnwHwd7vwuL85rB+k4uJ1BR9l7tvZYYiDkrtqnb/0/591Q==" saltValue="lfBueQ6vIOk9W4vB6R4c3g==" spinCount="100000" sheet="1" formatCells="0" selectLockedCells="1"/>
  <sortState xmlns:xlrd2="http://schemas.microsoft.com/office/spreadsheetml/2017/richdata2" ref="S67:S72">
    <sortCondition ref="S67"/>
  </sortState>
  <mergeCells count="339">
    <mergeCell ref="D9:H9"/>
    <mergeCell ref="T119:U119"/>
    <mergeCell ref="Y92:AA92"/>
    <mergeCell ref="ED8:EE8"/>
    <mergeCell ref="D101:E101"/>
    <mergeCell ref="H98:I98"/>
    <mergeCell ref="L98:N98"/>
    <mergeCell ref="L99:N99"/>
    <mergeCell ref="D93:L93"/>
    <mergeCell ref="L79:M79"/>
    <mergeCell ref="D79:E79"/>
    <mergeCell ref="Y89:AA89"/>
    <mergeCell ref="Y90:AA90"/>
    <mergeCell ref="Y88:AA88"/>
    <mergeCell ref="Y91:AA91"/>
    <mergeCell ref="D38:E38"/>
    <mergeCell ref="F38:N38"/>
    <mergeCell ref="D39:E39"/>
    <mergeCell ref="F39:N39"/>
    <mergeCell ref="D15:F15"/>
    <mergeCell ref="DT26:DU26"/>
    <mergeCell ref="Y95:AA95"/>
    <mergeCell ref="Y96:AA96"/>
    <mergeCell ref="DX9:DY9"/>
    <mergeCell ref="C289:F289"/>
    <mergeCell ref="D74:D75"/>
    <mergeCell ref="J26:N26"/>
    <mergeCell ref="J27:N27"/>
    <mergeCell ref="J28:N28"/>
    <mergeCell ref="J29:N29"/>
    <mergeCell ref="D42:E42"/>
    <mergeCell ref="F42:N42"/>
    <mergeCell ref="D43:E43"/>
    <mergeCell ref="F43:N43"/>
    <mergeCell ref="D44:E44"/>
    <mergeCell ref="F44:N44"/>
    <mergeCell ref="D49:K50"/>
    <mergeCell ref="F153:H153"/>
    <mergeCell ref="F154:H154"/>
    <mergeCell ref="F155:H155"/>
    <mergeCell ref="F156:H156"/>
    <mergeCell ref="K94:L94"/>
    <mergeCell ref="G95:H95"/>
    <mergeCell ref="D72:E72"/>
    <mergeCell ref="H72:I72"/>
    <mergeCell ref="H101:I101"/>
    <mergeCell ref="H86:I86"/>
    <mergeCell ref="H79:I79"/>
    <mergeCell ref="AJ234:BS234"/>
    <mergeCell ref="DT28:DU28"/>
    <mergeCell ref="Y93:AA93"/>
    <mergeCell ref="W80:X80"/>
    <mergeCell ref="W81:X81"/>
    <mergeCell ref="DT9:DU9"/>
    <mergeCell ref="DT10:DV10"/>
    <mergeCell ref="DT15:DU15"/>
    <mergeCell ref="DT16:DU16"/>
    <mergeCell ref="DT17:DU17"/>
    <mergeCell ref="DT19:DU19"/>
    <mergeCell ref="DT20:DU20"/>
    <mergeCell ref="DT21:DU21"/>
    <mergeCell ref="DT18:DU18"/>
    <mergeCell ref="DT14:DV14"/>
    <mergeCell ref="DT27:DU27"/>
    <mergeCell ref="Y94:AA94"/>
    <mergeCell ref="EI40:EJ40"/>
    <mergeCell ref="EI31:EJ31"/>
    <mergeCell ref="J30:N30"/>
    <mergeCell ref="J31:N31"/>
    <mergeCell ref="J32:N32"/>
    <mergeCell ref="J33:N33"/>
    <mergeCell ref="J34:N34"/>
    <mergeCell ref="EI43:EJ43"/>
    <mergeCell ref="M229:M231"/>
    <mergeCell ref="J149:P163"/>
    <mergeCell ref="M226:M228"/>
    <mergeCell ref="D82:N82"/>
    <mergeCell ref="D99:E99"/>
    <mergeCell ref="H88:I88"/>
    <mergeCell ref="D97:N97"/>
    <mergeCell ref="H84:I84"/>
    <mergeCell ref="H85:I85"/>
    <mergeCell ref="G120:H120"/>
    <mergeCell ref="E91:F91"/>
    <mergeCell ref="I91:J91"/>
    <mergeCell ref="H99:I99"/>
    <mergeCell ref="M223:M225"/>
    <mergeCell ref="F158:H158"/>
    <mergeCell ref="D87:E87"/>
    <mergeCell ref="EL12:EN12"/>
    <mergeCell ref="DT23:DU23"/>
    <mergeCell ref="DT11:DU11"/>
    <mergeCell ref="DT12:DU12"/>
    <mergeCell ref="EB10:ED10"/>
    <mergeCell ref="EB11:ED11"/>
    <mergeCell ref="EL15:EN15"/>
    <mergeCell ref="EI32:EJ32"/>
    <mergeCell ref="EI36:EJ36"/>
    <mergeCell ref="DX11:DY11"/>
    <mergeCell ref="L78:M78"/>
    <mergeCell ref="L81:M81"/>
    <mergeCell ref="L101:N101"/>
    <mergeCell ref="D98:E98"/>
    <mergeCell ref="G118:H118"/>
    <mergeCell ref="G119:H119"/>
    <mergeCell ref="G121:H121"/>
    <mergeCell ref="J120:P120"/>
    <mergeCell ref="L119:O119"/>
    <mergeCell ref="D95:F95"/>
    <mergeCell ref="G94:H94"/>
    <mergeCell ref="H87:I87"/>
    <mergeCell ref="H90:I90"/>
    <mergeCell ref="D88:E88"/>
    <mergeCell ref="K6:M6"/>
    <mergeCell ref="D125:E125"/>
    <mergeCell ref="J125:K125"/>
    <mergeCell ref="M125:N125"/>
    <mergeCell ref="H281:K281"/>
    <mergeCell ref="H272:K272"/>
    <mergeCell ref="D52:J52"/>
    <mergeCell ref="D54:J54"/>
    <mergeCell ref="D56:J56"/>
    <mergeCell ref="D94:F94"/>
    <mergeCell ref="H77:I77"/>
    <mergeCell ref="L77:M77"/>
    <mergeCell ref="C253:E255"/>
    <mergeCell ref="M253:M255"/>
    <mergeCell ref="C250:E252"/>
    <mergeCell ref="D58:J59"/>
    <mergeCell ref="J12:L12"/>
    <mergeCell ref="N262:N264"/>
    <mergeCell ref="N253:N255"/>
    <mergeCell ref="N259:N261"/>
    <mergeCell ref="N250:N252"/>
    <mergeCell ref="N247:N249"/>
    <mergeCell ref="J25:N25"/>
    <mergeCell ref="C244:E246"/>
    <mergeCell ref="X315:Y315"/>
    <mergeCell ref="D318:N318"/>
    <mergeCell ref="D319:N319"/>
    <mergeCell ref="D320:N320"/>
    <mergeCell ref="J70:K70"/>
    <mergeCell ref="K72:M72"/>
    <mergeCell ref="N256:N258"/>
    <mergeCell ref="D86:E86"/>
    <mergeCell ref="H290:I290"/>
    <mergeCell ref="K289:N289"/>
    <mergeCell ref="D84:E84"/>
    <mergeCell ref="D85:E85"/>
    <mergeCell ref="H289:I289"/>
    <mergeCell ref="F159:H159"/>
    <mergeCell ref="F160:H160"/>
    <mergeCell ref="F161:H161"/>
    <mergeCell ref="F162:H162"/>
    <mergeCell ref="M266:N266"/>
    <mergeCell ref="C297:P316"/>
    <mergeCell ref="N220:N222"/>
    <mergeCell ref="N223:N225"/>
    <mergeCell ref="N226:N228"/>
    <mergeCell ref="N229:N231"/>
    <mergeCell ref="N232:N234"/>
    <mergeCell ref="T126:V126"/>
    <mergeCell ref="F150:H150"/>
    <mergeCell ref="F151:H151"/>
    <mergeCell ref="F152:H152"/>
    <mergeCell ref="L290:N290"/>
    <mergeCell ref="D293:E293"/>
    <mergeCell ref="D12:H12"/>
    <mergeCell ref="H15:J15"/>
    <mergeCell ref="D61:J62"/>
    <mergeCell ref="D64:J64"/>
    <mergeCell ref="N235:N237"/>
    <mergeCell ref="N238:N240"/>
    <mergeCell ref="N241:N243"/>
    <mergeCell ref="N244:N246"/>
    <mergeCell ref="C235:E237"/>
    <mergeCell ref="M235:M237"/>
    <mergeCell ref="C238:E240"/>
    <mergeCell ref="M238:M240"/>
    <mergeCell ref="C220:E222"/>
    <mergeCell ref="M220:M222"/>
    <mergeCell ref="C223:E225"/>
    <mergeCell ref="M247:M249"/>
    <mergeCell ref="M244:M246"/>
    <mergeCell ref="C241:E243"/>
    <mergeCell ref="AJ235:AO235"/>
    <mergeCell ref="AJ225:BS225"/>
    <mergeCell ref="AJ226:AO226"/>
    <mergeCell ref="AP226:AT226"/>
    <mergeCell ref="F323:L323"/>
    <mergeCell ref="D118:E118"/>
    <mergeCell ref="D119:E119"/>
    <mergeCell ref="D120:E120"/>
    <mergeCell ref="D121:E121"/>
    <mergeCell ref="X304:Y304"/>
    <mergeCell ref="K266:L266"/>
    <mergeCell ref="C266:F266"/>
    <mergeCell ref="G266:H266"/>
    <mergeCell ref="C262:E264"/>
    <mergeCell ref="M262:M264"/>
    <mergeCell ref="C259:E261"/>
    <mergeCell ref="M259:M261"/>
    <mergeCell ref="C256:E258"/>
    <mergeCell ref="M256:M258"/>
    <mergeCell ref="D290:E290"/>
    <mergeCell ref="C229:E231"/>
    <mergeCell ref="C247:E249"/>
    <mergeCell ref="L121:O121"/>
    <mergeCell ref="AM265:AN265"/>
    <mergeCell ref="AM266:AN266"/>
    <mergeCell ref="AM248:AN248"/>
    <mergeCell ref="AM249:AN249"/>
    <mergeCell ref="AM250:AN250"/>
    <mergeCell ref="AM251:AN251"/>
    <mergeCell ref="AM252:AN252"/>
    <mergeCell ref="AM253:AN253"/>
    <mergeCell ref="AM256:AN256"/>
    <mergeCell ref="AM279:AN279"/>
    <mergeCell ref="AM280:AN280"/>
    <mergeCell ref="AM283:AN283"/>
    <mergeCell ref="AM284:AN284"/>
    <mergeCell ref="AM285:AN285"/>
    <mergeCell ref="AM286:AN286"/>
    <mergeCell ref="AM267:AN267"/>
    <mergeCell ref="AM268:AN268"/>
    <mergeCell ref="AM269:AN269"/>
    <mergeCell ref="AM270:AN270"/>
    <mergeCell ref="AM271:AN271"/>
    <mergeCell ref="AM274:AN274"/>
    <mergeCell ref="AM275:AN275"/>
    <mergeCell ref="AM276:AN276"/>
    <mergeCell ref="AM297:AN297"/>
    <mergeCell ref="AM298:AN298"/>
    <mergeCell ref="BC247:BD247"/>
    <mergeCell ref="BC248:BD248"/>
    <mergeCell ref="BC249:BD249"/>
    <mergeCell ref="BC250:BD250"/>
    <mergeCell ref="BC251:BD251"/>
    <mergeCell ref="BC252:BD252"/>
    <mergeCell ref="BC253:BD253"/>
    <mergeCell ref="BC265:BD265"/>
    <mergeCell ref="BC266:BD266"/>
    <mergeCell ref="BC267:BD267"/>
    <mergeCell ref="BC268:BD268"/>
    <mergeCell ref="BC269:BD269"/>
    <mergeCell ref="AM287:AN287"/>
    <mergeCell ref="AM288:AN288"/>
    <mergeCell ref="AM289:AN289"/>
    <mergeCell ref="AM292:AN292"/>
    <mergeCell ref="AM293:AN293"/>
    <mergeCell ref="AM294:AN294"/>
    <mergeCell ref="AM295:AN295"/>
    <mergeCell ref="AM296:AN296"/>
    <mergeCell ref="AM277:AN277"/>
    <mergeCell ref="AM278:AN278"/>
    <mergeCell ref="BC292:BD292"/>
    <mergeCell ref="BC293:BD293"/>
    <mergeCell ref="BC294:BD294"/>
    <mergeCell ref="BC295:BD295"/>
    <mergeCell ref="BC296:BD296"/>
    <mergeCell ref="BC297:BD297"/>
    <mergeCell ref="BC298:BD298"/>
    <mergeCell ref="BB245:BD245"/>
    <mergeCell ref="BC280:BD280"/>
    <mergeCell ref="BC283:BD283"/>
    <mergeCell ref="BC284:BD284"/>
    <mergeCell ref="BC285:BD285"/>
    <mergeCell ref="BC286:BD286"/>
    <mergeCell ref="BC287:BD287"/>
    <mergeCell ref="BC288:BD288"/>
    <mergeCell ref="BC289:BD289"/>
    <mergeCell ref="BC270:BD270"/>
    <mergeCell ref="BC271:BD271"/>
    <mergeCell ref="BC274:BD274"/>
    <mergeCell ref="BC275:BD275"/>
    <mergeCell ref="BC276:BD276"/>
    <mergeCell ref="BC277:BD277"/>
    <mergeCell ref="BC278:BD278"/>
    <mergeCell ref="BC279:BD279"/>
    <mergeCell ref="BC256:BD256"/>
    <mergeCell ref="BC257:BD257"/>
    <mergeCell ref="BC258:BD258"/>
    <mergeCell ref="BC259:BD259"/>
    <mergeCell ref="BC260:BD260"/>
    <mergeCell ref="BC261:BD261"/>
    <mergeCell ref="BC262:BD262"/>
    <mergeCell ref="E75:J75"/>
    <mergeCell ref="AU258:AV258"/>
    <mergeCell ref="AM257:AN257"/>
    <mergeCell ref="AM258:AN258"/>
    <mergeCell ref="AM259:AN259"/>
    <mergeCell ref="AM260:AN260"/>
    <mergeCell ref="AM261:AN261"/>
    <mergeCell ref="AM262:AN262"/>
    <mergeCell ref="AJ242:AO242"/>
    <mergeCell ref="AM247:AN247"/>
    <mergeCell ref="AJ245:AL245"/>
    <mergeCell ref="AJ240:AO240"/>
    <mergeCell ref="AJ241:AO241"/>
    <mergeCell ref="AJ238:AO238"/>
    <mergeCell ref="AJ239:AO239"/>
    <mergeCell ref="AJ236:AO236"/>
    <mergeCell ref="AJ237:AO237"/>
    <mergeCell ref="C278:P278"/>
    <mergeCell ref="C296:P296"/>
    <mergeCell ref="C287:P287"/>
    <mergeCell ref="F219:G219"/>
    <mergeCell ref="H219:I219"/>
    <mergeCell ref="J219:K219"/>
    <mergeCell ref="L219:M219"/>
    <mergeCell ref="C217:P217"/>
    <mergeCell ref="C7:P7"/>
    <mergeCell ref="C18:P18"/>
    <mergeCell ref="C23:P23"/>
    <mergeCell ref="C47:P47"/>
    <mergeCell ref="C67:P67"/>
    <mergeCell ref="C116:P116"/>
    <mergeCell ref="C148:P148"/>
    <mergeCell ref="C168:P168"/>
    <mergeCell ref="D292:E292"/>
    <mergeCell ref="M241:M243"/>
    <mergeCell ref="C232:E234"/>
    <mergeCell ref="M250:M252"/>
    <mergeCell ref="D76:N76"/>
    <mergeCell ref="D77:E77"/>
    <mergeCell ref="D78:E78"/>
    <mergeCell ref="H78:I78"/>
    <mergeCell ref="K171:L171"/>
    <mergeCell ref="N171:O171"/>
    <mergeCell ref="N189:O189"/>
    <mergeCell ref="J188:O188"/>
    <mergeCell ref="D170:O170"/>
    <mergeCell ref="D188:H188"/>
    <mergeCell ref="J118:O118"/>
    <mergeCell ref="C100:E100"/>
    <mergeCell ref="C269:P269"/>
    <mergeCell ref="M232:M234"/>
    <mergeCell ref="C226:E228"/>
    <mergeCell ref="F157:H157"/>
  </mergeCells>
  <phoneticPr fontId="26" type="noConversion"/>
  <conditionalFormatting sqref="L101:N101">
    <cfRule type="cellIs" dxfId="173" priority="13" operator="equal">
      <formula>"obesidade muito alta"</formula>
    </cfRule>
    <cfRule type="cellIs" dxfId="172" priority="14" operator="equal">
      <formula>"obesidade alta"</formula>
    </cfRule>
    <cfRule type="cellIs" dxfId="171" priority="15" operator="equal">
      <formula>"obesidade moderada"</formula>
    </cfRule>
    <cfRule type="cellIs" dxfId="170" priority="16" operator="equal">
      <formula>"pré-obesidade"</formula>
    </cfRule>
    <cfRule type="cellIs" dxfId="169" priority="17" operator="equal">
      <formula>"peso normal"</formula>
    </cfRule>
    <cfRule type="cellIs" dxfId="168" priority="18" operator="equal">
      <formula>"baixo peso leve"</formula>
    </cfRule>
    <cfRule type="cellIs" dxfId="167" priority="19" operator="equal">
      <formula>"baixo peso moderado"</formula>
    </cfRule>
    <cfRule type="cellIs" dxfId="166" priority="20" operator="equal">
      <formula>"baixo peso severo"</formula>
    </cfRule>
  </conditionalFormatting>
  <conditionalFormatting sqref="BH95">
    <cfRule type="cellIs" dxfId="165" priority="9" operator="equal">
      <formula>"Endomorfo"</formula>
    </cfRule>
  </conditionalFormatting>
  <conditionalFormatting sqref="BC62:BE62">
    <cfRule type="expression" dxfId="164" priority="12">
      <formula>$Z$47&gt;$Z$48=$Z$49</formula>
    </cfRule>
  </conditionalFormatting>
  <conditionalFormatting sqref="BC104:BE104">
    <cfRule type="expression" dxfId="163" priority="11" stopIfTrue="1">
      <formula>$AA$86=$AB$86=$AC$86</formula>
    </cfRule>
  </conditionalFormatting>
  <conditionalFormatting sqref="BI98">
    <cfRule type="expression" priority="10" stopIfTrue="1">
      <formula>"$AA$82&gt;$AB$82=$AC$82;""ENDOMORFO"""</formula>
    </cfRule>
  </conditionalFormatting>
  <conditionalFormatting sqref="EB11:ED11">
    <cfRule type="cellIs" dxfId="162" priority="1" operator="equal">
      <formula>"obesidade muito alta"</formula>
    </cfRule>
    <cfRule type="cellIs" dxfId="161" priority="2" operator="equal">
      <formula>"obesidade alta"</formula>
    </cfRule>
    <cfRule type="cellIs" dxfId="160" priority="3" operator="equal">
      <formula>"obesidade moderada"</formula>
    </cfRule>
    <cfRule type="cellIs" dxfId="159" priority="4" operator="equal">
      <formula>"pré-obesidade"</formula>
    </cfRule>
    <cfRule type="cellIs" dxfId="158" priority="5" operator="equal">
      <formula>"peso normal"</formula>
    </cfRule>
    <cfRule type="cellIs" dxfId="157" priority="6" operator="equal">
      <formula>"baixo peso leve"</formula>
    </cfRule>
    <cfRule type="cellIs" dxfId="156" priority="7" operator="equal">
      <formula>"baixo peso moderado"</formula>
    </cfRule>
    <cfRule type="cellIs" dxfId="155" priority="8" operator="equal">
      <formula>"baixo peso severo"</formula>
    </cfRule>
  </conditionalFormatting>
  <dataValidations count="2">
    <dataValidation type="list" allowBlank="1" showInputMessage="1" showErrorMessage="1" sqref="L9" xr:uid="{2A4DF486-2669-4E99-983B-1638FF4502A5}">
      <formula1>"Feminino, Masculino"</formula1>
    </dataValidation>
    <dataValidation type="list" allowBlank="1" showInputMessage="1" showErrorMessage="1" sqref="E75:J75" xr:uid="{91AEAE99-ADA3-4474-A6C8-826CCE9BBA95}">
      <formula1>$S$67:$S$75</formula1>
    </dataValidation>
  </dataValidations>
  <printOptions horizontalCentered="1"/>
  <pageMargins left="0.31496062992125984" right="0.11811023622047245" top="0.31496062992125984" bottom="0.31496062992125984" header="0.31496062992125984" footer="0.31496062992125984"/>
  <pageSetup paperSize="9" scale="90" fitToHeight="0" orientation="portrait" r:id="rId1"/>
  <headerFooter differentFirst="1"/>
  <rowBreaks count="4" manualBreakCount="4">
    <brk id="65" min="1" max="16" man="1"/>
    <brk id="121" min="1" max="16" man="1"/>
    <brk id="213" min="1" max="16" man="1"/>
    <brk id="26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3" r:id="rId4" name="Caixa de seleção 2">
              <controlPr defaultSize="0" autoFill="0" autoLine="0" autoPict="0">
                <anchor moveWithCells="1">
                  <from>
                    <xdr:col>3</xdr:col>
                    <xdr:colOff>83820</xdr:colOff>
                    <xdr:row>18</xdr:row>
                    <xdr:rowOff>91440</xdr:rowOff>
                  </from>
                  <to>
                    <xdr:col>3</xdr:col>
                    <xdr:colOff>975360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5" name="Caixa de seleção 3">
              <controlPr defaultSize="0" autoFill="0" autoLine="0" autoPict="0">
                <anchor moveWithCells="1">
                  <from>
                    <xdr:col>4</xdr:col>
                    <xdr:colOff>7620</xdr:colOff>
                    <xdr:row>18</xdr:row>
                    <xdr:rowOff>91440</xdr:rowOff>
                  </from>
                  <to>
                    <xdr:col>5</xdr:col>
                    <xdr:colOff>731520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6" name="Caixa de seleção 4">
              <controlPr defaultSize="0" autoFill="0" autoLine="0" autoPict="0">
                <anchor moveWithCells="1">
                  <from>
                    <xdr:col>8</xdr:col>
                    <xdr:colOff>175260</xdr:colOff>
                    <xdr:row>18</xdr:row>
                    <xdr:rowOff>91440</xdr:rowOff>
                  </from>
                  <to>
                    <xdr:col>9</xdr:col>
                    <xdr:colOff>1082040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7" name="Caixa de seleção 5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91440</xdr:rowOff>
                  </from>
                  <to>
                    <xdr:col>7</xdr:col>
                    <xdr:colOff>990600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8" name="Caixa de seleção 6">
              <controlPr defaultSize="0" autoFill="0" autoLine="0" autoPict="0">
                <anchor moveWithCells="1">
                  <from>
                    <xdr:col>11</xdr:col>
                    <xdr:colOff>76200</xdr:colOff>
                    <xdr:row>18</xdr:row>
                    <xdr:rowOff>91440</xdr:rowOff>
                  </from>
                  <to>
                    <xdr:col>12</xdr:col>
                    <xdr:colOff>60960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9" name="Caixa de seleção 6">
              <controlPr defaultSize="0" autoFill="0" autoLine="0" autoPict="0">
                <anchor moveWithCells="1">
                  <from>
                    <xdr:col>13</xdr:col>
                    <xdr:colOff>137160</xdr:colOff>
                    <xdr:row>18</xdr:row>
                    <xdr:rowOff>83820</xdr:rowOff>
                  </from>
                  <to>
                    <xdr:col>14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3" r:id="rId10" name="Caixa de seleção 42">
              <controlPr defaultSize="0" autoFill="0" autoLine="0" autoPict="0">
                <anchor moveWithCells="1">
                  <from>
                    <xdr:col>4</xdr:col>
                    <xdr:colOff>30480</xdr:colOff>
                    <xdr:row>169</xdr:row>
                    <xdr:rowOff>175260</xdr:rowOff>
                  </from>
                  <to>
                    <xdr:col>5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4" r:id="rId11" name="Caixa de seleção 44">
              <controlPr defaultSize="0" autoFill="0" autoLine="0" autoPict="0">
                <anchor moveWithCells="1">
                  <from>
                    <xdr:col>6</xdr:col>
                    <xdr:colOff>22860</xdr:colOff>
                    <xdr:row>169</xdr:row>
                    <xdr:rowOff>175260</xdr:rowOff>
                  </from>
                  <to>
                    <xdr:col>7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5" r:id="rId12" name="Caixa de seleção 45">
              <controlPr defaultSize="0" autoFill="0" autoLine="0" autoPict="0">
                <anchor moveWithCells="1">
                  <from>
                    <xdr:col>8</xdr:col>
                    <xdr:colOff>30480</xdr:colOff>
                    <xdr:row>169</xdr:row>
                    <xdr:rowOff>175260</xdr:rowOff>
                  </from>
                  <to>
                    <xdr:col>9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6" r:id="rId13" name="Caixa de seleção 47">
              <controlPr defaultSize="0" autoFill="0" autoLine="0" autoPict="0">
                <anchor moveWithCells="1">
                  <from>
                    <xdr:col>4</xdr:col>
                    <xdr:colOff>38100</xdr:colOff>
                    <xdr:row>171</xdr:row>
                    <xdr:rowOff>68580</xdr:rowOff>
                  </from>
                  <to>
                    <xdr:col>5</xdr:col>
                    <xdr:colOff>609600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7" r:id="rId14" name="Caixa de seleção 48">
              <controlPr defaultSize="0" autoFill="0" autoLine="0" autoPict="0">
                <anchor moveWithCells="1">
                  <from>
                    <xdr:col>6</xdr:col>
                    <xdr:colOff>22860</xdr:colOff>
                    <xdr:row>171</xdr:row>
                    <xdr:rowOff>68580</xdr:rowOff>
                  </from>
                  <to>
                    <xdr:col>7</xdr:col>
                    <xdr:colOff>563880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8" r:id="rId15" name="Caixa de seleção 49">
              <controlPr defaultSize="0" autoFill="0" autoLine="0" autoPict="0">
                <anchor moveWithCells="1">
                  <from>
                    <xdr:col>8</xdr:col>
                    <xdr:colOff>22860</xdr:colOff>
                    <xdr:row>171</xdr:row>
                    <xdr:rowOff>68580</xdr:rowOff>
                  </from>
                  <to>
                    <xdr:col>9</xdr:col>
                    <xdr:colOff>899160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9" r:id="rId16" name="Caixa de seleção 50">
              <controlPr defaultSize="0" autoFill="0" autoLine="0" autoPict="0">
                <anchor moveWithCells="1">
                  <from>
                    <xdr:col>4</xdr:col>
                    <xdr:colOff>30480</xdr:colOff>
                    <xdr:row>175</xdr:row>
                    <xdr:rowOff>76200</xdr:rowOff>
                  </from>
                  <to>
                    <xdr:col>5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0" r:id="rId17" name="Caixa de seleção 51">
              <controlPr defaultSize="0" autoFill="0" autoLine="0" autoPict="0">
                <anchor moveWithCells="1">
                  <from>
                    <xdr:col>6</xdr:col>
                    <xdr:colOff>22860</xdr:colOff>
                    <xdr:row>175</xdr:row>
                    <xdr:rowOff>76200</xdr:rowOff>
                  </from>
                  <to>
                    <xdr:col>7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1" r:id="rId18" name="Caixa de seleção 52">
              <controlPr defaultSize="0" autoFill="0" autoLine="0" autoPict="0">
                <anchor moveWithCells="1">
                  <from>
                    <xdr:col>8</xdr:col>
                    <xdr:colOff>30480</xdr:colOff>
                    <xdr:row>175</xdr:row>
                    <xdr:rowOff>76200</xdr:rowOff>
                  </from>
                  <to>
                    <xdr:col>9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2" r:id="rId19" name="Caixa de seleção 53">
              <controlPr defaultSize="0" autoFill="0" autoLine="0" autoPict="0">
                <anchor moveWithCells="1">
                  <from>
                    <xdr:col>4</xdr:col>
                    <xdr:colOff>30480</xdr:colOff>
                    <xdr:row>177</xdr:row>
                    <xdr:rowOff>76200</xdr:rowOff>
                  </from>
                  <to>
                    <xdr:col>5</xdr:col>
                    <xdr:colOff>579120</xdr:colOff>
                    <xdr:row>179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3" r:id="rId20" name="Caixa de seleção 54">
              <controlPr defaultSize="0" autoFill="0" autoLine="0" autoPict="0">
                <anchor moveWithCells="1">
                  <from>
                    <xdr:col>6</xdr:col>
                    <xdr:colOff>22860</xdr:colOff>
                    <xdr:row>177</xdr:row>
                    <xdr:rowOff>76200</xdr:rowOff>
                  </from>
                  <to>
                    <xdr:col>7</xdr:col>
                    <xdr:colOff>579120</xdr:colOff>
                    <xdr:row>179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4" r:id="rId21" name="Caixa de seleção 55">
              <controlPr defaultSize="0" autoFill="0" autoLine="0" autoPict="0">
                <anchor moveWithCells="1">
                  <from>
                    <xdr:col>8</xdr:col>
                    <xdr:colOff>30480</xdr:colOff>
                    <xdr:row>177</xdr:row>
                    <xdr:rowOff>76200</xdr:rowOff>
                  </from>
                  <to>
                    <xdr:col>9</xdr:col>
                    <xdr:colOff>579120</xdr:colOff>
                    <xdr:row>179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5" r:id="rId22" name="Caixa de seleção 59">
              <controlPr defaultSize="0" autoFill="0" autoLine="0" autoPict="0">
                <anchor moveWithCells="1">
                  <from>
                    <xdr:col>4</xdr:col>
                    <xdr:colOff>30480</xdr:colOff>
                    <xdr:row>179</xdr:row>
                    <xdr:rowOff>76200</xdr:rowOff>
                  </from>
                  <to>
                    <xdr:col>5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6" r:id="rId23" name="Caixa de seleção 60">
              <controlPr defaultSize="0" autoFill="0" autoLine="0" autoPict="0">
                <anchor moveWithCells="1">
                  <from>
                    <xdr:col>6</xdr:col>
                    <xdr:colOff>22860</xdr:colOff>
                    <xdr:row>179</xdr:row>
                    <xdr:rowOff>76200</xdr:rowOff>
                  </from>
                  <to>
                    <xdr:col>7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7" r:id="rId24" name="Caixa de seleção 61">
              <controlPr defaultSize="0" autoFill="0" autoLine="0" autoPict="0">
                <anchor moveWithCells="1">
                  <from>
                    <xdr:col>8</xdr:col>
                    <xdr:colOff>30480</xdr:colOff>
                    <xdr:row>179</xdr:row>
                    <xdr:rowOff>76200</xdr:rowOff>
                  </from>
                  <to>
                    <xdr:col>9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8" r:id="rId25" name="Caixa de seleção 62">
              <controlPr defaultSize="0" autoFill="0" autoLine="0" autoPict="0">
                <anchor moveWithCells="1">
                  <from>
                    <xdr:col>4</xdr:col>
                    <xdr:colOff>30480</xdr:colOff>
                    <xdr:row>181</xdr:row>
                    <xdr:rowOff>76200</xdr:rowOff>
                  </from>
                  <to>
                    <xdr:col>5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9" r:id="rId26" name="Caixa de seleção 63">
              <controlPr defaultSize="0" autoFill="0" autoLine="0" autoPict="0">
                <anchor moveWithCells="1">
                  <from>
                    <xdr:col>6</xdr:col>
                    <xdr:colOff>22860</xdr:colOff>
                    <xdr:row>181</xdr:row>
                    <xdr:rowOff>76200</xdr:rowOff>
                  </from>
                  <to>
                    <xdr:col>7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0" r:id="rId27" name="Caixa de seleção 64">
              <controlPr defaultSize="0" autoFill="0" autoLine="0" autoPict="0">
                <anchor moveWithCells="1">
                  <from>
                    <xdr:col>8</xdr:col>
                    <xdr:colOff>30480</xdr:colOff>
                    <xdr:row>181</xdr:row>
                    <xdr:rowOff>76200</xdr:rowOff>
                  </from>
                  <to>
                    <xdr:col>9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1" r:id="rId28" name="Caixa de seleção 107">
              <controlPr defaultSize="0" autoFill="0" autoLine="0" autoPict="0">
                <anchor moveWithCells="1">
                  <from>
                    <xdr:col>4</xdr:col>
                    <xdr:colOff>30480</xdr:colOff>
                    <xdr:row>173</xdr:row>
                    <xdr:rowOff>68580</xdr:rowOff>
                  </from>
                  <to>
                    <xdr:col>5</xdr:col>
                    <xdr:colOff>579120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2" r:id="rId29" name="Caixa de seleção 108">
              <controlPr defaultSize="0" autoFill="0" autoLine="0" autoPict="0">
                <anchor moveWithCells="1">
                  <from>
                    <xdr:col>6</xdr:col>
                    <xdr:colOff>22860</xdr:colOff>
                    <xdr:row>173</xdr:row>
                    <xdr:rowOff>68580</xdr:rowOff>
                  </from>
                  <to>
                    <xdr:col>7</xdr:col>
                    <xdr:colOff>563880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3" r:id="rId30" name="Caixa de seleção 109">
              <controlPr defaultSize="0" autoFill="0" autoLine="0" autoPict="0">
                <anchor moveWithCells="1">
                  <from>
                    <xdr:col>6</xdr:col>
                    <xdr:colOff>22860</xdr:colOff>
                    <xdr:row>183</xdr:row>
                    <xdr:rowOff>76200</xdr:rowOff>
                  </from>
                  <to>
                    <xdr:col>7</xdr:col>
                    <xdr:colOff>586740</xdr:colOff>
                    <xdr:row>185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4" r:id="rId31" name="Caixa de seleção 110">
              <controlPr defaultSize="0" autoFill="0" autoLine="0" autoPict="0">
                <anchor moveWithCells="1">
                  <from>
                    <xdr:col>4</xdr:col>
                    <xdr:colOff>22860</xdr:colOff>
                    <xdr:row>183</xdr:row>
                    <xdr:rowOff>76200</xdr:rowOff>
                  </from>
                  <to>
                    <xdr:col>5</xdr:col>
                    <xdr:colOff>579120</xdr:colOff>
                    <xdr:row>185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5" r:id="rId32" name="Caixa de seleção 111">
              <controlPr defaultSize="0" autoFill="0" autoLine="0" autoPict="0">
                <anchor moveWithCells="1">
                  <from>
                    <xdr:col>8</xdr:col>
                    <xdr:colOff>30480</xdr:colOff>
                    <xdr:row>183</xdr:row>
                    <xdr:rowOff>76200</xdr:rowOff>
                  </from>
                  <to>
                    <xdr:col>9</xdr:col>
                    <xdr:colOff>579120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6" r:id="rId33" name="Caixa de seleção 112">
              <controlPr defaultSize="0" autoFill="0" autoLine="0" autoPict="0">
                <anchor moveWithCells="1">
                  <from>
                    <xdr:col>4</xdr:col>
                    <xdr:colOff>22860</xdr:colOff>
                    <xdr:row>184</xdr:row>
                    <xdr:rowOff>182880</xdr:rowOff>
                  </from>
                  <to>
                    <xdr:col>5</xdr:col>
                    <xdr:colOff>571500</xdr:colOff>
                    <xdr:row>186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7" r:id="rId34" name="Caixa de seleção 46">
              <controlPr defaultSize="0" autoFill="0" autoLine="0" autoPict="0">
                <anchor moveWithCells="1">
                  <from>
                    <xdr:col>2</xdr:col>
                    <xdr:colOff>53340</xdr:colOff>
                    <xdr:row>199</xdr:row>
                    <xdr:rowOff>7620</xdr:rowOff>
                  </from>
                  <to>
                    <xdr:col>3</xdr:col>
                    <xdr:colOff>723900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8" r:id="rId35" name="Caixa de seleção 65">
              <controlPr defaultSize="0" autoFill="0" autoLine="0" autoPict="0">
                <anchor moveWithCells="1">
                  <from>
                    <xdr:col>2</xdr:col>
                    <xdr:colOff>53340</xdr:colOff>
                    <xdr:row>190</xdr:row>
                    <xdr:rowOff>7620</xdr:rowOff>
                  </from>
                  <to>
                    <xdr:col>3</xdr:col>
                    <xdr:colOff>708660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9" r:id="rId36" name="Caixa de seleção 66">
              <controlPr defaultSize="0" autoFill="0" autoLine="0" autoPict="0">
                <anchor moveWithCells="1">
                  <from>
                    <xdr:col>2</xdr:col>
                    <xdr:colOff>53340</xdr:colOff>
                    <xdr:row>189</xdr:row>
                    <xdr:rowOff>7620</xdr:rowOff>
                  </from>
                  <to>
                    <xdr:col>5</xdr:col>
                    <xdr:colOff>91440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0" r:id="rId37" name="Caixa de seleção 67">
              <controlPr defaultSize="0" autoFill="0" autoLine="0" autoPict="0">
                <anchor moveWithCells="1">
                  <from>
                    <xdr:col>4</xdr:col>
                    <xdr:colOff>137160</xdr:colOff>
                    <xdr:row>189</xdr:row>
                    <xdr:rowOff>7620</xdr:rowOff>
                  </from>
                  <to>
                    <xdr:col>7</xdr:col>
                    <xdr:colOff>259080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2" r:id="rId38" name="Caixa de seleção 69">
              <controlPr defaultSize="0" autoFill="0" autoLine="0" autoPict="0">
                <anchor moveWithCells="1">
                  <from>
                    <xdr:col>2</xdr:col>
                    <xdr:colOff>53340</xdr:colOff>
                    <xdr:row>198</xdr:row>
                    <xdr:rowOff>7620</xdr:rowOff>
                  </from>
                  <to>
                    <xdr:col>5</xdr:col>
                    <xdr:colOff>22860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3" r:id="rId39" name="Caixa de seleção 70">
              <controlPr defaultSize="0" autoFill="0" autoLine="0" autoPict="0">
                <anchor moveWithCells="1">
                  <from>
                    <xdr:col>4</xdr:col>
                    <xdr:colOff>137160</xdr:colOff>
                    <xdr:row>198</xdr:row>
                    <xdr:rowOff>7620</xdr:rowOff>
                  </from>
                  <to>
                    <xdr:col>7</xdr:col>
                    <xdr:colOff>83820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4" r:id="rId40" name="Caixa de seleção 71">
              <controlPr defaultSize="0" autoFill="0" autoLine="0" autoPict="0">
                <anchor moveWithCells="1">
                  <from>
                    <xdr:col>2</xdr:col>
                    <xdr:colOff>53340</xdr:colOff>
                    <xdr:row>195</xdr:row>
                    <xdr:rowOff>7620</xdr:rowOff>
                  </from>
                  <to>
                    <xdr:col>3</xdr:col>
                    <xdr:colOff>708660</xdr:colOff>
                    <xdr:row>196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5" r:id="rId41" name="Caixa de seleção 72">
              <controlPr defaultSize="0" autoFill="0" autoLine="0" autoPict="0">
                <anchor moveWithCells="1">
                  <from>
                    <xdr:col>2</xdr:col>
                    <xdr:colOff>53340</xdr:colOff>
                    <xdr:row>193</xdr:row>
                    <xdr:rowOff>7620</xdr:rowOff>
                  </from>
                  <to>
                    <xdr:col>4</xdr:col>
                    <xdr:colOff>129540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6" r:id="rId42" name="Caixa de seleção 73">
              <controlPr defaultSize="0" autoFill="0" autoLine="0" autoPict="0">
                <anchor moveWithCells="1">
                  <from>
                    <xdr:col>4</xdr:col>
                    <xdr:colOff>137160</xdr:colOff>
                    <xdr:row>193</xdr:row>
                    <xdr:rowOff>7620</xdr:rowOff>
                  </from>
                  <to>
                    <xdr:col>5</xdr:col>
                    <xdr:colOff>701040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7" r:id="rId43" name="Caixa de seleção 77">
              <controlPr defaultSize="0" autoFill="0" autoLine="0" autoPict="0">
                <anchor moveWithCells="1">
                  <from>
                    <xdr:col>2</xdr:col>
                    <xdr:colOff>53340</xdr:colOff>
                    <xdr:row>194</xdr:row>
                    <xdr:rowOff>7620</xdr:rowOff>
                  </from>
                  <to>
                    <xdr:col>3</xdr:col>
                    <xdr:colOff>975360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8" r:id="rId44" name="Caixa de seleção 78">
              <controlPr defaultSize="0" autoFill="0" autoLine="0" autoPict="0">
                <anchor moveWithCells="1">
                  <from>
                    <xdr:col>4</xdr:col>
                    <xdr:colOff>137160</xdr:colOff>
                    <xdr:row>194</xdr:row>
                    <xdr:rowOff>7620</xdr:rowOff>
                  </from>
                  <to>
                    <xdr:col>6</xdr:col>
                    <xdr:colOff>91440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9" r:id="rId45" name="Caixa de seleção 80">
              <controlPr defaultSize="0" autoFill="0" autoLine="0" autoPict="0">
                <anchor moveWithCells="1">
                  <from>
                    <xdr:col>2</xdr:col>
                    <xdr:colOff>53340</xdr:colOff>
                    <xdr:row>211</xdr:row>
                    <xdr:rowOff>0</xdr:rowOff>
                  </from>
                  <to>
                    <xdr:col>3</xdr:col>
                    <xdr:colOff>708660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0" r:id="rId46" name="Caixa de seleção 81">
              <controlPr defaultSize="0" autoFill="0" autoLine="0" autoPict="0">
                <anchor moveWithCells="1">
                  <from>
                    <xdr:col>4</xdr:col>
                    <xdr:colOff>144780</xdr:colOff>
                    <xdr:row>211</xdr:row>
                    <xdr:rowOff>0</xdr:rowOff>
                  </from>
                  <to>
                    <xdr:col>5</xdr:col>
                    <xdr:colOff>685800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2" r:id="rId47" name="Caixa de seleção 83">
              <controlPr defaultSize="0" autoFill="0" autoLine="0" autoPict="0">
                <anchor moveWithCells="1">
                  <from>
                    <xdr:col>2</xdr:col>
                    <xdr:colOff>53340</xdr:colOff>
                    <xdr:row>208</xdr:row>
                    <xdr:rowOff>7620</xdr:rowOff>
                  </from>
                  <to>
                    <xdr:col>3</xdr:col>
                    <xdr:colOff>708660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3" r:id="rId48" name="Caixa de seleção 84">
              <controlPr defaultSize="0" autoFill="0" autoLine="0" autoPict="0">
                <anchor moveWithCells="1">
                  <from>
                    <xdr:col>4</xdr:col>
                    <xdr:colOff>144780</xdr:colOff>
                    <xdr:row>208</xdr:row>
                    <xdr:rowOff>7620</xdr:rowOff>
                  </from>
                  <to>
                    <xdr:col>5</xdr:col>
                    <xdr:colOff>685800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4" r:id="rId49" name="Caixa de seleção 85">
              <controlPr defaultSize="0" autoFill="0" autoLine="0" autoPict="0">
                <anchor moveWithCells="1">
                  <from>
                    <xdr:col>5</xdr:col>
                    <xdr:colOff>838200</xdr:colOff>
                    <xdr:row>208</xdr:row>
                    <xdr:rowOff>15240</xdr:rowOff>
                  </from>
                  <to>
                    <xdr:col>7</xdr:col>
                    <xdr:colOff>396240</xdr:colOff>
                    <xdr:row>209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5" r:id="rId50" name="Caixa de seleção 86">
              <controlPr defaultSize="0" autoFill="0" autoLine="0" autoPict="0">
                <anchor moveWithCells="1">
                  <from>
                    <xdr:col>8</xdr:col>
                    <xdr:colOff>137160</xdr:colOff>
                    <xdr:row>189</xdr:row>
                    <xdr:rowOff>7620</xdr:rowOff>
                  </from>
                  <to>
                    <xdr:col>9</xdr:col>
                    <xdr:colOff>701040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6" r:id="rId51" name="Caixa de seleção 87">
              <controlPr defaultSize="0" autoFill="0" autoLine="0" autoPict="0">
                <anchor moveWithCells="1">
                  <from>
                    <xdr:col>10</xdr:col>
                    <xdr:colOff>137160</xdr:colOff>
                    <xdr:row>189</xdr:row>
                    <xdr:rowOff>7620</xdr:rowOff>
                  </from>
                  <to>
                    <xdr:col>11</xdr:col>
                    <xdr:colOff>670560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9" r:id="rId52" name="Caixa de seleção 92">
              <controlPr defaultSize="0" autoFill="0" autoLine="0" autoPict="0">
                <anchor moveWithCells="1">
                  <from>
                    <xdr:col>8</xdr:col>
                    <xdr:colOff>137160</xdr:colOff>
                    <xdr:row>198</xdr:row>
                    <xdr:rowOff>167640</xdr:rowOff>
                  </from>
                  <to>
                    <xdr:col>9</xdr:col>
                    <xdr:colOff>693420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0" r:id="rId53" name="Caixa de seleção 93">
              <controlPr defaultSize="0" autoFill="0" autoLine="0" autoPict="0">
                <anchor moveWithCells="1">
                  <from>
                    <xdr:col>8</xdr:col>
                    <xdr:colOff>137160</xdr:colOff>
                    <xdr:row>197</xdr:row>
                    <xdr:rowOff>175260</xdr:rowOff>
                  </from>
                  <to>
                    <xdr:col>9</xdr:col>
                    <xdr:colOff>701040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1" r:id="rId54" name="Caixa de seleção 94">
              <controlPr defaultSize="0" autoFill="0" autoLine="0" autoPict="0">
                <anchor moveWithCells="1">
                  <from>
                    <xdr:col>10</xdr:col>
                    <xdr:colOff>137160</xdr:colOff>
                    <xdr:row>197</xdr:row>
                    <xdr:rowOff>175260</xdr:rowOff>
                  </from>
                  <to>
                    <xdr:col>11</xdr:col>
                    <xdr:colOff>693420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2" r:id="rId55" name="Caixa de seleção 95">
              <controlPr defaultSize="0" autoFill="0" autoLine="0" autoPict="0">
                <anchor moveWithCells="1">
                  <from>
                    <xdr:col>8</xdr:col>
                    <xdr:colOff>137160</xdr:colOff>
                    <xdr:row>204</xdr:row>
                    <xdr:rowOff>175260</xdr:rowOff>
                  </from>
                  <to>
                    <xdr:col>9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3" r:id="rId56" name="Caixa de seleção 96">
              <controlPr defaultSize="0" autoFill="0" autoLine="0" autoPict="0">
                <anchor moveWithCells="1">
                  <from>
                    <xdr:col>8</xdr:col>
                    <xdr:colOff>137160</xdr:colOff>
                    <xdr:row>203</xdr:row>
                    <xdr:rowOff>175260</xdr:rowOff>
                  </from>
                  <to>
                    <xdr:col>9</xdr:col>
                    <xdr:colOff>701040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4" r:id="rId57" name="Caixa de seleção 97">
              <controlPr defaultSize="0" autoFill="0" autoLine="0" autoPict="0">
                <anchor moveWithCells="1">
                  <from>
                    <xdr:col>10</xdr:col>
                    <xdr:colOff>137160</xdr:colOff>
                    <xdr:row>203</xdr:row>
                    <xdr:rowOff>175260</xdr:rowOff>
                  </from>
                  <to>
                    <xdr:col>11</xdr:col>
                    <xdr:colOff>693420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5" r:id="rId58" name="Caixa de seleção 98">
              <controlPr defaultSize="0" autoFill="0" autoLine="0" autoPict="0">
                <anchor moveWithCells="1">
                  <from>
                    <xdr:col>8</xdr:col>
                    <xdr:colOff>137160</xdr:colOff>
                    <xdr:row>193</xdr:row>
                    <xdr:rowOff>175260</xdr:rowOff>
                  </from>
                  <to>
                    <xdr:col>9</xdr:col>
                    <xdr:colOff>693420</xdr:colOff>
                    <xdr:row>195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8" r:id="rId59" name="Caixa de seleção 104">
              <controlPr defaultSize="0" autoFill="0" autoLine="0" autoPict="0">
                <anchor moveWithCells="1">
                  <from>
                    <xdr:col>2</xdr:col>
                    <xdr:colOff>53340</xdr:colOff>
                    <xdr:row>204</xdr:row>
                    <xdr:rowOff>175260</xdr:rowOff>
                  </from>
                  <to>
                    <xdr:col>3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9" r:id="rId60" name="Caixa de seleção 105">
              <controlPr defaultSize="0" autoFill="0" autoLine="0" autoPict="0">
                <anchor moveWithCells="1">
                  <from>
                    <xdr:col>4</xdr:col>
                    <xdr:colOff>129540</xdr:colOff>
                    <xdr:row>203</xdr:row>
                    <xdr:rowOff>175260</xdr:rowOff>
                  </from>
                  <to>
                    <xdr:col>7</xdr:col>
                    <xdr:colOff>7620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0" r:id="rId61" name="Caixa de seleção 106">
              <controlPr defaultSize="0" autoFill="0" autoLine="0" autoPict="0">
                <anchor moveWithCells="1">
                  <from>
                    <xdr:col>2</xdr:col>
                    <xdr:colOff>53340</xdr:colOff>
                    <xdr:row>203</xdr:row>
                    <xdr:rowOff>175260</xdr:rowOff>
                  </from>
                  <to>
                    <xdr:col>4</xdr:col>
                    <xdr:colOff>144780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1" r:id="rId62" name="Check Box 101">
              <controlPr defaultSize="0" autoFill="0" autoLine="0" autoPict="0">
                <anchor moveWithCells="1">
                  <from>
                    <xdr:col>12</xdr:col>
                    <xdr:colOff>0</xdr:colOff>
                    <xdr:row>47</xdr:row>
                    <xdr:rowOff>175260</xdr:rowOff>
                  </from>
                  <to>
                    <xdr:col>13</xdr:col>
                    <xdr:colOff>495300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2" r:id="rId63" name="Check Box 102">
              <controlPr defaultSize="0" autoFill="0" autoLine="0" autoPict="0">
                <anchor moveWithCells="1">
                  <from>
                    <xdr:col>13</xdr:col>
                    <xdr:colOff>327660</xdr:colOff>
                    <xdr:row>47</xdr:row>
                    <xdr:rowOff>175260</xdr:rowOff>
                  </from>
                  <to>
                    <xdr:col>14</xdr:col>
                    <xdr:colOff>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3" r:id="rId64" name="Check Box 103">
              <controlPr defaultSize="0" autoFill="0" autoLine="0" autoPict="0">
                <anchor moveWithCells="1">
                  <from>
                    <xdr:col>12</xdr:col>
                    <xdr:colOff>0</xdr:colOff>
                    <xdr:row>50</xdr:row>
                    <xdr:rowOff>53340</xdr:rowOff>
                  </from>
                  <to>
                    <xdr:col>13</xdr:col>
                    <xdr:colOff>495300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4" r:id="rId65" name="Check Box 104">
              <controlPr defaultSize="0" autoFill="0" autoLine="0" autoPict="0">
                <anchor moveWithCells="1">
                  <from>
                    <xdr:col>13</xdr:col>
                    <xdr:colOff>327660</xdr:colOff>
                    <xdr:row>50</xdr:row>
                    <xdr:rowOff>53340</xdr:rowOff>
                  </from>
                  <to>
                    <xdr:col>14</xdr:col>
                    <xdr:colOff>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5" r:id="rId66" name="Check Box 105">
              <controlPr defaultSize="0" autoFill="0" autoLine="0" autoPict="0">
                <anchor moveWithCells="1">
                  <from>
                    <xdr:col>12</xdr:col>
                    <xdr:colOff>0</xdr:colOff>
                    <xdr:row>52</xdr:row>
                    <xdr:rowOff>45720</xdr:rowOff>
                  </from>
                  <to>
                    <xdr:col>13</xdr:col>
                    <xdr:colOff>495300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6" r:id="rId67" name="Check Box 106">
              <controlPr defaultSize="0" autoFill="0" autoLine="0" autoPict="0">
                <anchor moveWithCells="1">
                  <from>
                    <xdr:col>13</xdr:col>
                    <xdr:colOff>327660</xdr:colOff>
                    <xdr:row>52</xdr:row>
                    <xdr:rowOff>45720</xdr:rowOff>
                  </from>
                  <to>
                    <xdr:col>14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7" r:id="rId68" name="Check Box 107">
              <controlPr defaultSize="0" autoFill="0" autoLine="0" autoPict="0">
                <anchor moveWithCells="1">
                  <from>
                    <xdr:col>12</xdr:col>
                    <xdr:colOff>0</xdr:colOff>
                    <xdr:row>54</xdr:row>
                    <xdr:rowOff>53340</xdr:rowOff>
                  </from>
                  <to>
                    <xdr:col>13</xdr:col>
                    <xdr:colOff>495300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8" r:id="rId69" name="Check Box 108">
              <controlPr defaultSize="0" autoFill="0" autoLine="0" autoPict="0">
                <anchor moveWithCells="1">
                  <from>
                    <xdr:col>13</xdr:col>
                    <xdr:colOff>327660</xdr:colOff>
                    <xdr:row>54</xdr:row>
                    <xdr:rowOff>53340</xdr:rowOff>
                  </from>
                  <to>
                    <xdr:col>14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9" r:id="rId70" name="Check Box 109">
              <controlPr defaultSize="0" autoFill="0" autoLine="0" autoPict="0">
                <anchor moveWithCells="1">
                  <from>
                    <xdr:col>12</xdr:col>
                    <xdr:colOff>0</xdr:colOff>
                    <xdr:row>56</xdr:row>
                    <xdr:rowOff>53340</xdr:rowOff>
                  </from>
                  <to>
                    <xdr:col>13</xdr:col>
                    <xdr:colOff>495300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0" r:id="rId71" name="Check Box 110">
              <controlPr defaultSize="0" autoFill="0" autoLine="0" autoPict="0">
                <anchor moveWithCells="1">
                  <from>
                    <xdr:col>13</xdr:col>
                    <xdr:colOff>327660</xdr:colOff>
                    <xdr:row>56</xdr:row>
                    <xdr:rowOff>53340</xdr:rowOff>
                  </from>
                  <to>
                    <xdr:col>14</xdr:col>
                    <xdr:colOff>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1" r:id="rId72" name="Check Box 111">
              <controlPr defaultSize="0" autoFill="0" autoLine="0" autoPict="0">
                <anchor moveWithCells="1">
                  <from>
                    <xdr:col>12</xdr:col>
                    <xdr:colOff>0</xdr:colOff>
                    <xdr:row>59</xdr:row>
                    <xdr:rowOff>53340</xdr:rowOff>
                  </from>
                  <to>
                    <xdr:col>13</xdr:col>
                    <xdr:colOff>495300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2" r:id="rId73" name="Check Box 112">
              <controlPr defaultSize="0" autoFill="0" autoLine="0" autoPict="0">
                <anchor moveWithCells="1">
                  <from>
                    <xdr:col>13</xdr:col>
                    <xdr:colOff>327660</xdr:colOff>
                    <xdr:row>59</xdr:row>
                    <xdr:rowOff>53340</xdr:rowOff>
                  </from>
                  <to>
                    <xdr:col>14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3" r:id="rId74" name="Check Box 113">
              <controlPr defaultSize="0" autoFill="0" autoLine="0" autoPict="0">
                <anchor moveWithCells="1">
                  <from>
                    <xdr:col>12</xdr:col>
                    <xdr:colOff>0</xdr:colOff>
                    <xdr:row>62</xdr:row>
                    <xdr:rowOff>53340</xdr:rowOff>
                  </from>
                  <to>
                    <xdr:col>13</xdr:col>
                    <xdr:colOff>495300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4" r:id="rId75" name="Check Box 114">
              <controlPr defaultSize="0" autoFill="0" autoLine="0" autoPict="0">
                <anchor moveWithCells="1">
                  <from>
                    <xdr:col>13</xdr:col>
                    <xdr:colOff>327660</xdr:colOff>
                    <xdr:row>62</xdr:row>
                    <xdr:rowOff>53340</xdr:rowOff>
                  </from>
                  <to>
                    <xdr:col>14</xdr:col>
                    <xdr:colOff>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0" r:id="rId76" name="Caixa de seleção 112">
              <controlPr defaultSize="0" autoFill="0" autoLine="0" autoPict="0">
                <anchor moveWithCells="1">
                  <from>
                    <xdr:col>6</xdr:col>
                    <xdr:colOff>22860</xdr:colOff>
                    <xdr:row>184</xdr:row>
                    <xdr:rowOff>182880</xdr:rowOff>
                  </from>
                  <to>
                    <xdr:col>7</xdr:col>
                    <xdr:colOff>571500</xdr:colOff>
                    <xdr:row>186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2" r:id="rId77" name="Caixa de seleção 112">
              <controlPr defaultSize="0" autoFill="0" autoLine="0" autoPict="0">
                <anchor moveWithCells="1">
                  <from>
                    <xdr:col>8</xdr:col>
                    <xdr:colOff>137160</xdr:colOff>
                    <xdr:row>190</xdr:row>
                    <xdr:rowOff>0</xdr:rowOff>
                  </from>
                  <to>
                    <xdr:col>9</xdr:col>
                    <xdr:colOff>685800</xdr:colOff>
                    <xdr:row>191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7" r:id="rId78" name="Caixa de seleção 68">
              <controlPr defaultSize="0" autoFill="0" autoLine="0" autoPict="0">
                <anchor moveWithCells="1">
                  <from>
                    <xdr:col>4</xdr:col>
                    <xdr:colOff>137160</xdr:colOff>
                    <xdr:row>199</xdr:row>
                    <xdr:rowOff>7620</xdr:rowOff>
                  </from>
                  <to>
                    <xdr:col>5</xdr:col>
                    <xdr:colOff>708660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9" r:id="rId79" name="Caixa de seleção 82">
              <controlPr defaultSize="0" autoFill="0" autoLine="0" autoPict="0">
                <anchor moveWithCells="1">
                  <from>
                    <xdr:col>5</xdr:col>
                    <xdr:colOff>845820</xdr:colOff>
                    <xdr:row>211</xdr:row>
                    <xdr:rowOff>0</xdr:rowOff>
                  </from>
                  <to>
                    <xdr:col>7</xdr:col>
                    <xdr:colOff>403860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0" r:id="rId80" name="Caixa de seleção 99">
              <controlPr defaultSize="0" autoFill="0" autoLine="0" autoPict="0">
                <anchor moveWithCells="1">
                  <from>
                    <xdr:col>8</xdr:col>
                    <xdr:colOff>137160</xdr:colOff>
                    <xdr:row>192</xdr:row>
                    <xdr:rowOff>175260</xdr:rowOff>
                  </from>
                  <to>
                    <xdr:col>10</xdr:col>
                    <xdr:colOff>38100</xdr:colOff>
                    <xdr:row>194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1" r:id="rId81" name="Caixa de seleção 100">
              <controlPr defaultSize="0" autoFill="0" autoLine="0" autoPict="0">
                <anchor moveWithCells="1">
                  <from>
                    <xdr:col>10</xdr:col>
                    <xdr:colOff>137160</xdr:colOff>
                    <xdr:row>192</xdr:row>
                    <xdr:rowOff>175260</xdr:rowOff>
                  </from>
                  <to>
                    <xdr:col>12</xdr:col>
                    <xdr:colOff>144780</xdr:colOff>
                    <xdr:row>194</xdr:row>
                    <xdr:rowOff>68580</xdr:rowOff>
                  </to>
                </anchor>
              </controlPr>
            </control>
          </mc:Choice>
        </mc:AlternateContent>
      </controls>
    </mc:Choice>
  </mc:AlternateContent>
  <tableParts count="3">
    <tablePart r:id="rId82"/>
    <tablePart r:id="rId83"/>
    <tablePart r:id="rId8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DEB2F-DDCE-446F-AAF4-5612DC2FEE16}">
  <sheetPr>
    <pageSetUpPr fitToPage="1"/>
  </sheetPr>
  <dimension ref="A1:EW328"/>
  <sheetViews>
    <sheetView showGridLines="0" showRowColHeaders="0" tabSelected="1" zoomScale="80" zoomScaleNormal="80" zoomScaleSheetLayoutView="73" workbookViewId="0">
      <selection activeCell="D9" sqref="D9:H9"/>
    </sheetView>
  </sheetViews>
  <sheetFormatPr defaultColWidth="0" defaultRowHeight="14.45" customHeight="1" zeroHeight="1" x14ac:dyDescent="0.2"/>
  <cols>
    <col min="1" max="1" width="5.24609375" customWidth="1"/>
    <col min="2" max="2" width="1.61328125" customWidth="1"/>
    <col min="3" max="3" width="1.4765625" customWidth="1"/>
    <col min="4" max="4" width="14.66015625" customWidth="1"/>
    <col min="5" max="5" width="2.6875" customWidth="1"/>
    <col min="6" max="6" width="14.66015625" customWidth="1"/>
    <col min="7" max="7" width="2.6875" customWidth="1"/>
    <col min="8" max="8" width="16.0078125" bestFit="1" customWidth="1"/>
    <col min="9" max="9" width="2.6875" customWidth="1"/>
    <col min="10" max="10" width="16.94921875" customWidth="1"/>
    <col min="11" max="11" width="2.6875" customWidth="1"/>
    <col min="12" max="12" width="14.66015625" customWidth="1"/>
    <col min="13" max="13" width="2.6875" customWidth="1"/>
    <col min="14" max="14" width="14.66015625" customWidth="1"/>
    <col min="15" max="15" width="2.6875" customWidth="1"/>
    <col min="16" max="16" width="1.34375" customWidth="1"/>
    <col min="17" max="17" width="1.61328125" customWidth="1"/>
    <col min="18" max="18" width="9.14453125" hidden="1" customWidth="1"/>
    <col min="19" max="19" width="18.16015625" hidden="1" customWidth="1"/>
    <col min="20" max="20" width="12.375" hidden="1" customWidth="1"/>
    <col min="21" max="21" width="9.14453125" hidden="1" customWidth="1"/>
    <col min="22" max="22" width="20.984375" hidden="1" customWidth="1"/>
    <col min="23" max="25" width="9.14453125" hidden="1" customWidth="1"/>
    <col min="26" max="26" width="10.4921875" hidden="1" customWidth="1"/>
    <col min="27" max="30" width="9.14453125" hidden="1" customWidth="1"/>
    <col min="31" max="31" width="9.14453125" style="79" hidden="1" customWidth="1"/>
    <col min="32" max="74" width="9.14453125" hidden="1" customWidth="1"/>
    <col min="75" max="75" width="9.14453125" style="79" hidden="1" customWidth="1"/>
    <col min="76" max="79" width="9.14453125" hidden="1" customWidth="1"/>
    <col min="80" max="80" width="16.8125" hidden="1" customWidth="1"/>
    <col min="81" max="83" width="9.14453125" hidden="1" customWidth="1"/>
    <col min="84" max="84" width="19.37109375" hidden="1" customWidth="1"/>
    <col min="85" max="90" width="9.14453125" hidden="1" customWidth="1"/>
    <col min="91" max="91" width="10.4921875" hidden="1" customWidth="1"/>
    <col min="92" max="92" width="9.14453125" hidden="1" customWidth="1"/>
    <col min="93" max="93" width="10.625" hidden="1" customWidth="1"/>
    <col min="94" max="120" width="9.14453125" hidden="1" customWidth="1"/>
    <col min="121" max="121" width="9.14453125" style="79" hidden="1" customWidth="1"/>
    <col min="122" max="152" width="9.14453125" hidden="1" customWidth="1"/>
    <col min="153" max="153" width="9.14453125" style="79" hidden="1" customWidth="1"/>
    <col min="154" max="16384" width="9.14453125" hidden="1"/>
  </cols>
  <sheetData>
    <row r="1" spans="2:146" ht="15" customHeight="1" x14ac:dyDescent="0.2"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L1" t="s">
        <v>96</v>
      </c>
    </row>
    <row r="2" spans="2:146" ht="15" customHeight="1" x14ac:dyDescent="0.2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AF2" s="10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L2" t="s">
        <v>97</v>
      </c>
    </row>
    <row r="3" spans="2:146" ht="15" customHeight="1" x14ac:dyDescent="0.2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DS3" s="162"/>
      <c r="DT3" s="162"/>
      <c r="DU3" s="162"/>
      <c r="DV3" s="162"/>
      <c r="DW3" s="162"/>
      <c r="DY3" s="162"/>
      <c r="DZ3" s="162"/>
      <c r="EA3" s="162"/>
      <c r="EB3" s="162"/>
      <c r="EC3" s="162"/>
      <c r="ED3" s="162"/>
      <c r="EE3" s="162"/>
      <c r="EJ3" t="s">
        <v>95</v>
      </c>
    </row>
    <row r="4" spans="2:146" ht="15" customHeight="1" x14ac:dyDescent="0.2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7"/>
      <c r="Q4" s="22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J4" s="4">
        <f>IF(DZ9="feminino",0,1)</f>
        <v>1</v>
      </c>
    </row>
    <row r="5" spans="2:146" ht="15" customHeight="1" x14ac:dyDescent="0.2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7"/>
      <c r="Q5" s="22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J5" s="4"/>
    </row>
    <row r="6" spans="2:146" ht="15" customHeight="1" thickBot="1" x14ac:dyDescent="0.25">
      <c r="B6" s="227"/>
      <c r="C6" s="228"/>
      <c r="D6" s="228"/>
      <c r="E6" s="228"/>
      <c r="F6" s="228"/>
      <c r="G6" s="228"/>
      <c r="H6" s="228"/>
      <c r="I6" s="228"/>
      <c r="J6" s="228"/>
      <c r="K6" s="456"/>
      <c r="L6" s="456"/>
      <c r="M6" s="456"/>
      <c r="N6" s="229"/>
      <c r="O6" s="228"/>
      <c r="P6" s="227"/>
      <c r="Q6" s="227"/>
      <c r="AG6" s="46"/>
      <c r="AH6" s="46"/>
      <c r="AI6" s="46"/>
      <c r="AJ6" s="46"/>
      <c r="AK6" s="46"/>
      <c r="AL6" s="129"/>
      <c r="AM6" s="129"/>
      <c r="AN6" s="129"/>
      <c r="AO6" s="46"/>
      <c r="AP6" s="46"/>
      <c r="AQ6" s="46"/>
      <c r="AR6" s="46"/>
      <c r="AS6" s="46"/>
      <c r="BC6" s="314" t="s">
        <v>133</v>
      </c>
      <c r="BD6" s="314" t="s">
        <v>132</v>
      </c>
      <c r="BE6" s="314" t="s">
        <v>134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M6" s="314"/>
      <c r="CN6" s="314"/>
      <c r="CO6" s="314"/>
      <c r="DO6" s="42" t="s">
        <v>138</v>
      </c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G6" t="e">
        <f>DV11*DV26</f>
        <v>#VALUE!</v>
      </c>
    </row>
    <row r="7" spans="2:146" ht="15" customHeight="1" x14ac:dyDescent="0.2">
      <c r="B7" s="227"/>
      <c r="C7" s="374" t="s">
        <v>201</v>
      </c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227"/>
      <c r="BC7" s="314" t="str">
        <f>AX14</f>
        <v>-</v>
      </c>
      <c r="BD7" s="314">
        <f>AV15</f>
        <v>1</v>
      </c>
      <c r="BE7" s="32" t="str">
        <f>AZ13</f>
        <v>-</v>
      </c>
      <c r="CM7" s="314"/>
      <c r="CN7" s="314"/>
      <c r="CO7" s="32"/>
      <c r="DM7" s="42" t="s">
        <v>133</v>
      </c>
      <c r="DO7" s="42">
        <f>CB31</f>
        <v>-11.2</v>
      </c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I7" s="17" t="s">
        <v>46</v>
      </c>
    </row>
    <row r="8" spans="2:146" ht="15" x14ac:dyDescent="0.2">
      <c r="B8" s="227"/>
      <c r="C8" s="238"/>
      <c r="D8" s="276" t="s">
        <v>0</v>
      </c>
      <c r="E8" s="276"/>
      <c r="F8" s="276"/>
      <c r="G8" s="276"/>
      <c r="H8" s="276"/>
      <c r="I8" s="276"/>
      <c r="J8" s="276" t="s">
        <v>1</v>
      </c>
      <c r="K8" s="276"/>
      <c r="L8" s="276" t="s">
        <v>3</v>
      </c>
      <c r="M8" s="276"/>
      <c r="N8" s="276" t="s">
        <v>2</v>
      </c>
      <c r="O8" s="276"/>
      <c r="P8" s="277"/>
      <c r="Q8" s="227"/>
      <c r="BC8" s="314" t="str">
        <f t="shared" ref="BC8:BE10" si="0">BC7</f>
        <v>-</v>
      </c>
      <c r="BD8" s="314">
        <f t="shared" si="0"/>
        <v>1</v>
      </c>
      <c r="BE8" s="32" t="str">
        <f t="shared" si="0"/>
        <v>-</v>
      </c>
      <c r="CM8" s="32" t="e">
        <f>CF31</f>
        <v>#VALUE!</v>
      </c>
      <c r="CN8" s="314"/>
      <c r="CO8" s="32" t="e">
        <f>CF31</f>
        <v>#VALUE!</v>
      </c>
      <c r="DK8" s="42" t="s">
        <v>132</v>
      </c>
      <c r="DM8" s="42" t="str">
        <f>DB14</f>
        <v>-</v>
      </c>
      <c r="ED8" s="498">
        <f ca="1">TODAY()</f>
        <v>44149</v>
      </c>
      <c r="EE8" s="498"/>
      <c r="EI8" s="27" t="s">
        <v>38</v>
      </c>
    </row>
    <row r="9" spans="2:146" ht="15" x14ac:dyDescent="0.2">
      <c r="B9" s="227"/>
      <c r="C9" s="240"/>
      <c r="D9" s="494"/>
      <c r="E9" s="495"/>
      <c r="F9" s="495"/>
      <c r="G9" s="495"/>
      <c r="H9" s="496"/>
      <c r="I9" s="221"/>
      <c r="J9" s="222"/>
      <c r="K9" s="221"/>
      <c r="L9" s="223"/>
      <c r="M9" s="221"/>
      <c r="N9" s="230" t="str">
        <f>'Avaliação Física 2'!DV9</f>
        <v>-</v>
      </c>
      <c r="O9" s="221"/>
      <c r="P9" s="278"/>
      <c r="Q9" s="227"/>
      <c r="S9" s="106"/>
      <c r="T9" s="106"/>
      <c r="U9" s="106"/>
      <c r="V9" s="106"/>
      <c r="AH9" s="126" t="s">
        <v>49</v>
      </c>
      <c r="AI9" s="126"/>
      <c r="AJ9" s="31">
        <f>'Avaliação Física 2'!F85</f>
        <v>0</v>
      </c>
      <c r="AN9" s="126" t="s">
        <v>119</v>
      </c>
      <c r="AO9" s="126"/>
      <c r="AP9" s="10">
        <f>'Avaliação Física 2'!DV11</f>
        <v>0</v>
      </c>
      <c r="BC9" s="314" t="str">
        <f t="shared" si="0"/>
        <v>-</v>
      </c>
      <c r="BD9" s="314">
        <f t="shared" si="0"/>
        <v>1</v>
      </c>
      <c r="BE9" s="32" t="str">
        <f t="shared" si="0"/>
        <v>-</v>
      </c>
      <c r="BZ9" s="126" t="s">
        <v>41</v>
      </c>
      <c r="CA9" s="126"/>
      <c r="CB9" s="144">
        <f>'Avaliação Física 2'!L9</f>
        <v>0</v>
      </c>
      <c r="CC9" s="145"/>
      <c r="CD9" s="126" t="s">
        <v>148</v>
      </c>
      <c r="CE9" s="126"/>
      <c r="CF9" s="144" t="str">
        <f>'Avaliação Física 2'!DV9</f>
        <v>-</v>
      </c>
      <c r="CG9" s="145"/>
      <c r="CM9" s="314"/>
      <c r="CN9" s="314"/>
      <c r="CO9" s="32"/>
      <c r="DK9" s="42">
        <f>CZ15</f>
        <v>1</v>
      </c>
      <c r="DT9" s="426" t="s">
        <v>2</v>
      </c>
      <c r="DU9" s="426"/>
      <c r="DV9" s="8" t="str">
        <f>IF(J9="","-",INT((ED8-'Avaliação Física 2'!J9)/365.25))</f>
        <v>-</v>
      </c>
      <c r="DX9" s="426" t="s">
        <v>41</v>
      </c>
      <c r="DY9" s="426"/>
      <c r="DZ9" s="10">
        <f>'Avaliação Física 2'!L9</f>
        <v>0</v>
      </c>
      <c r="EI9" s="14" t="e">
        <f>1.112-(0.00043499*(DV23))+(0.00000055*(DV23*DV23))-(0.00028826*(DV9))</f>
        <v>#VALUE!</v>
      </c>
      <c r="EP9" t="s">
        <v>48</v>
      </c>
    </row>
    <row r="10" spans="2:146" ht="15" x14ac:dyDescent="0.2">
      <c r="B10" s="227"/>
      <c r="C10" s="240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301"/>
      <c r="O10" s="221"/>
      <c r="P10" s="278"/>
      <c r="Q10" s="227"/>
      <c r="S10" s="106"/>
      <c r="T10" s="106"/>
      <c r="U10" s="106"/>
      <c r="V10" s="106"/>
      <c r="AH10" s="126" t="s">
        <v>50</v>
      </c>
      <c r="AI10" s="126"/>
      <c r="AJ10" s="31">
        <f>'Avaliação Física 2'!F84</f>
        <v>0</v>
      </c>
      <c r="AN10" s="126" t="s">
        <v>61</v>
      </c>
      <c r="AO10" s="126"/>
      <c r="AP10" s="72">
        <f>'Avaliação Física 2'!DV12</f>
        <v>0</v>
      </c>
      <c r="BC10" s="314" t="str">
        <f t="shared" si="0"/>
        <v>-</v>
      </c>
      <c r="BD10" s="314">
        <f t="shared" si="0"/>
        <v>1</v>
      </c>
      <c r="BE10" s="32" t="str">
        <f t="shared" si="0"/>
        <v>-</v>
      </c>
      <c r="CF10" s="126"/>
      <c r="CG10" s="126"/>
      <c r="CM10" s="314"/>
      <c r="CN10" s="314"/>
      <c r="CO10" s="32"/>
      <c r="DT10" s="490" t="s">
        <v>15</v>
      </c>
      <c r="DU10" s="490"/>
      <c r="DV10" s="490"/>
      <c r="EB10" s="477" t="s">
        <v>36</v>
      </c>
      <c r="EC10" s="477"/>
      <c r="ED10" s="477"/>
      <c r="EI10" s="14"/>
    </row>
    <row r="11" spans="2:146" ht="15.75" thickBot="1" x14ac:dyDescent="0.25">
      <c r="B11" s="227"/>
      <c r="C11" s="240"/>
      <c r="D11" s="221" t="s">
        <v>4</v>
      </c>
      <c r="E11" s="221"/>
      <c r="F11" s="221"/>
      <c r="G11" s="221"/>
      <c r="H11" s="221"/>
      <c r="I11" s="221"/>
      <c r="J11" s="221" t="s">
        <v>5</v>
      </c>
      <c r="K11" s="221"/>
      <c r="L11" s="221"/>
      <c r="M11" s="221"/>
      <c r="N11" s="221" t="s">
        <v>6</v>
      </c>
      <c r="O11" s="221"/>
      <c r="P11" s="278"/>
      <c r="Q11" s="227"/>
      <c r="S11" s="107"/>
      <c r="T11" s="107" t="b">
        <v>0</v>
      </c>
      <c r="U11" s="107"/>
      <c r="V11" s="106"/>
      <c r="AH11" s="126" t="s">
        <v>59</v>
      </c>
      <c r="AI11" s="138"/>
      <c r="AJ11" s="31">
        <f>'Avaliação Física 2'!F86</f>
        <v>0</v>
      </c>
      <c r="BC11" s="47"/>
      <c r="BD11" s="48"/>
      <c r="BE11" s="48"/>
      <c r="BF11" s="48"/>
      <c r="BG11" s="48"/>
      <c r="BH11" s="48"/>
      <c r="BI11" s="48"/>
      <c r="BJ11" s="48"/>
      <c r="BK11" s="49"/>
      <c r="BN11" s="47"/>
      <c r="BO11" s="48"/>
      <c r="BP11" s="48"/>
      <c r="BQ11" s="48"/>
      <c r="BR11" s="48"/>
      <c r="BS11" s="48"/>
      <c r="BT11" s="48"/>
      <c r="BU11" s="49"/>
      <c r="BZ11" s="126"/>
      <c r="CA11" s="126"/>
      <c r="CM11" s="47"/>
      <c r="CN11" s="48"/>
      <c r="CO11" s="48"/>
      <c r="CP11" s="48"/>
      <c r="CQ11" s="48"/>
      <c r="CR11" s="48"/>
      <c r="CS11" s="48"/>
      <c r="CT11" s="49"/>
      <c r="CU11" s="49"/>
      <c r="CX11" s="47"/>
      <c r="CY11" s="48"/>
      <c r="CZ11" s="48"/>
      <c r="DA11" s="48"/>
      <c r="DB11" s="48"/>
      <c r="DC11" s="48"/>
      <c r="DD11" s="48"/>
      <c r="DE11" s="49"/>
      <c r="DH11" s="314"/>
      <c r="DJ11" s="314"/>
      <c r="DK11" s="314"/>
      <c r="DL11" s="314"/>
      <c r="DN11" s="121" t="s">
        <v>27</v>
      </c>
      <c r="DO11" s="121"/>
      <c r="DT11" s="426" t="s">
        <v>118</v>
      </c>
      <c r="DU11" s="426"/>
      <c r="DV11" s="31">
        <f>'Avaliação Física 2'!F72</f>
        <v>0</v>
      </c>
      <c r="DX11" s="426" t="s">
        <v>26</v>
      </c>
      <c r="DY11" s="426"/>
      <c r="DZ11" s="9" t="e">
        <f>IF(DV11="","-",SUM(DV11/(DV12*DV12)))</f>
        <v>#DIV/0!</v>
      </c>
      <c r="EB11" s="478" t="str">
        <f>IF(DV12&gt;0,VLOOKUP(DZ11,AUX_IMC_Classificação5[],2,TRUE),"(informe peso e altura)")</f>
        <v>(informe peso e altura)</v>
      </c>
      <c r="EC11" s="479"/>
      <c r="ED11" s="480"/>
      <c r="EI11" s="27" t="s">
        <v>39</v>
      </c>
    </row>
    <row r="12" spans="2:146" ht="15.75" thickBot="1" x14ac:dyDescent="0.25">
      <c r="B12" s="227"/>
      <c r="C12" s="240"/>
      <c r="D12" s="432"/>
      <c r="E12" s="433"/>
      <c r="F12" s="433"/>
      <c r="G12" s="433"/>
      <c r="H12" s="434"/>
      <c r="I12" s="221"/>
      <c r="J12" s="432"/>
      <c r="K12" s="433"/>
      <c r="L12" s="434"/>
      <c r="M12" s="221"/>
      <c r="N12" s="224"/>
      <c r="O12" s="221"/>
      <c r="P12" s="278"/>
      <c r="Q12" s="227"/>
      <c r="S12" s="107"/>
      <c r="T12" s="107" t="b">
        <v>0</v>
      </c>
      <c r="U12" s="107"/>
      <c r="V12" s="106"/>
      <c r="AH12" s="126" t="s">
        <v>51</v>
      </c>
      <c r="AI12" s="126"/>
      <c r="AJ12" s="31">
        <f>'Avaliação Física 2'!F87</f>
        <v>0</v>
      </c>
      <c r="AN12" s="126" t="s">
        <v>62</v>
      </c>
      <c r="AO12" s="126"/>
      <c r="AP12" s="44" t="str">
        <f>'Avaliação Física 2'!E91</f>
        <v>-</v>
      </c>
      <c r="AZ12" s="42" t="s">
        <v>62</v>
      </c>
      <c r="BC12" s="50"/>
      <c r="BJ12" s="51" t="s">
        <v>138</v>
      </c>
      <c r="BK12" s="52"/>
      <c r="BN12" s="50"/>
      <c r="BT12" s="42" t="s">
        <v>138</v>
      </c>
      <c r="BU12" s="52"/>
      <c r="BZ12" s="126" t="s">
        <v>149</v>
      </c>
      <c r="CA12" s="126"/>
      <c r="CB12" s="126"/>
      <c r="CC12" s="126"/>
      <c r="CD12" s="113">
        <f>'Avaliação Física 2'!L281</f>
        <v>0</v>
      </c>
      <c r="CF12" s="126" t="s">
        <v>150</v>
      </c>
      <c r="CG12" s="126"/>
      <c r="CH12" s="44" t="str">
        <f>IF(CD12="","-",DC18)</f>
        <v>-</v>
      </c>
      <c r="CI12" s="21"/>
      <c r="CM12" s="50"/>
      <c r="CS12" s="42" t="s">
        <v>138</v>
      </c>
      <c r="CT12" s="52"/>
      <c r="CU12" s="52"/>
      <c r="CX12" s="50"/>
      <c r="DD12" s="42" t="s">
        <v>138</v>
      </c>
      <c r="DE12" s="52"/>
      <c r="DH12" s="314"/>
      <c r="DJ12" s="314"/>
      <c r="DK12" s="314"/>
      <c r="DL12" s="314"/>
      <c r="DN12" s="121" t="str">
        <f>IF(AND(DK9=0,DM8&lt;=29),VLOOKUP(DO7,DH19:DI23,2,TRUE),IF(AND(DK9=0,DM8&lt;=39),VLOOKUP(DO7,DH26:DI30,2,TRUE),IF(AND(DK9=0,DM8&lt;=49),VLOOKUP(DO7,DH32:DI36,2,TRUE),IF(AND(DK9=0,DM8&lt;=59),VLOOKUP(DO7,DH38:DI42,2,TRUE),IF(AND(DK9=0,DM8&lt;=69),VLOOKUP(DO7,DH44:DI48,2,TRUE),IF(AND(DK9=1,DM8&lt;=29),VLOOKUP(DO7,DK19:DL23,2,TRUE),IF(AND(DK9=1,DM8&lt;=39),VLOOKUP(DO7,DK26:DL30,2,TRUE),IF(AND(DK9=1,DM8&lt;=49),VLOOKUP(DO7,DK32:DL36,2,TRUE),IF(AND(DK9=1,DM8&lt;=59),VLOOKUP(DO7,DK38:DL42,2,TRUE),IF(AND(DK9=1,DM8&lt;=69),VLOOKUP(DO7,DK44:DL48,2,TRUE),"-"))))))))))</f>
        <v>-</v>
      </c>
      <c r="DO12" s="121"/>
      <c r="DT12" s="426" t="s">
        <v>17</v>
      </c>
      <c r="DU12" s="426"/>
      <c r="DV12" s="45">
        <f>'Avaliação Física 2'!J72</f>
        <v>0</v>
      </c>
      <c r="EI12" s="15" t="e">
        <f>1.097-(0.00046971*(DV23))+(0.00000056*(DV23*DV23))-(0.00012828*(DV9))</f>
        <v>#VALUE!</v>
      </c>
      <c r="EL12" s="474" t="s">
        <v>45</v>
      </c>
      <c r="EM12" s="475"/>
      <c r="EN12" s="476"/>
    </row>
    <row r="13" spans="2:146" ht="15" x14ac:dyDescent="0.2">
      <c r="B13" s="227"/>
      <c r="C13" s="240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78"/>
      <c r="Q13" s="227"/>
      <c r="S13" s="107"/>
      <c r="T13" s="107" t="b">
        <v>0</v>
      </c>
      <c r="U13" s="107"/>
      <c r="V13" s="106"/>
      <c r="AH13" s="126" t="s">
        <v>52</v>
      </c>
      <c r="AI13" s="126"/>
      <c r="AJ13" s="31">
        <f>'Avaliação Física 2'!F88</f>
        <v>0</v>
      </c>
      <c r="AX13" s="42" t="s">
        <v>133</v>
      </c>
      <c r="AZ13" s="43" t="str">
        <f>AP12</f>
        <v>-</v>
      </c>
      <c r="BC13" s="50"/>
      <c r="BH13" s="42" t="s">
        <v>133</v>
      </c>
      <c r="BJ13" s="42"/>
      <c r="BK13" s="52"/>
      <c r="BN13" s="50"/>
      <c r="BR13" s="42" t="s">
        <v>133</v>
      </c>
      <c r="BT13" s="42">
        <v>11</v>
      </c>
      <c r="BU13" s="52"/>
      <c r="CM13" s="50"/>
      <c r="CQ13" s="42" t="s">
        <v>133</v>
      </c>
      <c r="CS13" s="42">
        <f>CD20</f>
        <v>0</v>
      </c>
      <c r="CT13" s="52"/>
      <c r="CU13" s="52"/>
      <c r="CX13" s="50"/>
      <c r="DB13" s="42" t="s">
        <v>133</v>
      </c>
      <c r="DD13" s="42">
        <f>CD12</f>
        <v>0</v>
      </c>
      <c r="DE13" s="52"/>
      <c r="EL13" s="20" t="s">
        <v>40</v>
      </c>
      <c r="EM13" s="21" t="e">
        <f>((4.95/EI9)-4.5)*100</f>
        <v>#VALUE!</v>
      </c>
      <c r="EN13" s="22"/>
    </row>
    <row r="14" spans="2:146" ht="15" x14ac:dyDescent="0.2">
      <c r="B14" s="227"/>
      <c r="C14" s="240"/>
      <c r="D14" s="221" t="s">
        <v>7</v>
      </c>
      <c r="E14" s="221"/>
      <c r="F14" s="221"/>
      <c r="G14" s="221"/>
      <c r="H14" s="221" t="s">
        <v>244</v>
      </c>
      <c r="I14" s="221"/>
      <c r="J14" s="221"/>
      <c r="K14" s="221"/>
      <c r="L14" s="221" t="s">
        <v>8</v>
      </c>
      <c r="M14" s="221"/>
      <c r="N14" s="306" t="s">
        <v>243</v>
      </c>
      <c r="O14" s="221"/>
      <c r="P14" s="278"/>
      <c r="Q14" s="227"/>
      <c r="S14" s="107"/>
      <c r="T14" s="107" t="b">
        <v>0</v>
      </c>
      <c r="U14" s="107"/>
      <c r="V14" s="106"/>
      <c r="AH14" s="310"/>
      <c r="AI14" s="310"/>
      <c r="AN14" s="126" t="s">
        <v>27</v>
      </c>
      <c r="AO14" s="126"/>
      <c r="AP14" s="130" t="str">
        <f>AY18</f>
        <v>-</v>
      </c>
      <c r="AQ14" s="130"/>
      <c r="AV14" s="42" t="s">
        <v>132</v>
      </c>
      <c r="AX14" s="42" t="str">
        <f>'Avaliação Física 2'!DV9</f>
        <v>-</v>
      </c>
      <c r="BC14" s="50"/>
      <c r="BF14" s="42" t="s">
        <v>132</v>
      </c>
      <c r="BH14" s="42" t="str">
        <f>AX14</f>
        <v>-</v>
      </c>
      <c r="BK14" s="52"/>
      <c r="BN14" s="50"/>
      <c r="BP14" s="42" t="s">
        <v>132</v>
      </c>
      <c r="BR14" s="42" t="str">
        <f>BH14</f>
        <v>-</v>
      </c>
      <c r="BU14" s="52"/>
      <c r="BZ14" s="310"/>
      <c r="CA14" s="310"/>
      <c r="CF14" s="126"/>
      <c r="CG14" s="126"/>
      <c r="CH14" s="126"/>
      <c r="CI14" s="126"/>
      <c r="CM14" s="50"/>
      <c r="CO14" s="42" t="s">
        <v>132</v>
      </c>
      <c r="CQ14" s="42" t="str">
        <f>CF9</f>
        <v>-</v>
      </c>
      <c r="CT14" s="52"/>
      <c r="CU14" s="52"/>
      <c r="CX14" s="50"/>
      <c r="CZ14" s="42" t="s">
        <v>132</v>
      </c>
      <c r="DB14" s="42" t="str">
        <f>CF9</f>
        <v>-</v>
      </c>
      <c r="DE14" s="52"/>
      <c r="DT14" s="490" t="s">
        <v>16</v>
      </c>
      <c r="DU14" s="490"/>
      <c r="DV14" s="490"/>
      <c r="EL14" s="23"/>
      <c r="EN14" s="22"/>
    </row>
    <row r="15" spans="2:146" ht="15" x14ac:dyDescent="0.2">
      <c r="B15" s="227"/>
      <c r="C15" s="240"/>
      <c r="D15" s="432"/>
      <c r="E15" s="433"/>
      <c r="F15" s="434"/>
      <c r="G15" s="221"/>
      <c r="H15" s="435"/>
      <c r="I15" s="433"/>
      <c r="J15" s="434"/>
      <c r="K15" s="221"/>
      <c r="L15" s="225"/>
      <c r="M15" s="220"/>
      <c r="N15" s="226"/>
      <c r="O15" s="221"/>
      <c r="P15" s="278"/>
      <c r="Q15" s="227"/>
      <c r="S15" s="107"/>
      <c r="T15" s="107" t="b">
        <v>0</v>
      </c>
      <c r="U15" s="107"/>
      <c r="V15" s="106"/>
      <c r="AH15" s="310"/>
      <c r="AI15" s="310"/>
      <c r="AJ15" s="314" t="s">
        <v>57</v>
      </c>
      <c r="AK15" s="314"/>
      <c r="AL15" s="314" t="s">
        <v>58</v>
      </c>
      <c r="AV15" s="42">
        <f>IF(L9="feminino",0,1)</f>
        <v>1</v>
      </c>
      <c r="BC15" s="50"/>
      <c r="BF15" s="42">
        <f>AV15</f>
        <v>1</v>
      </c>
      <c r="BK15" s="52"/>
      <c r="BN15" s="50"/>
      <c r="BP15" s="42">
        <f>BF15</f>
        <v>1</v>
      </c>
      <c r="BU15" s="52"/>
      <c r="CM15" s="50"/>
      <c r="CO15" s="42">
        <f>IF(CB9="feminino",0,1)</f>
        <v>1</v>
      </c>
      <c r="CT15" s="52"/>
      <c r="CU15" s="52"/>
      <c r="CX15" s="50"/>
      <c r="CZ15" s="42">
        <f>CO15</f>
        <v>1</v>
      </c>
      <c r="DE15" s="52"/>
      <c r="DT15" s="426" t="s">
        <v>18</v>
      </c>
      <c r="DU15" s="426"/>
      <c r="DV15" s="31">
        <f>'Avaliação Física 2'!F77</f>
        <v>0</v>
      </c>
      <c r="EL15" s="481" t="s">
        <v>44</v>
      </c>
      <c r="EM15" s="477"/>
      <c r="EN15" s="482"/>
    </row>
    <row r="16" spans="2:146" ht="15" x14ac:dyDescent="0.2">
      <c r="B16" s="227"/>
      <c r="C16" s="241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227"/>
      <c r="S16" s="107"/>
      <c r="T16" s="107" t="b">
        <v>0</v>
      </c>
      <c r="U16" s="107"/>
      <c r="V16" s="106"/>
      <c r="AH16" s="126" t="s">
        <v>53</v>
      </c>
      <c r="AI16" s="126"/>
      <c r="AJ16" s="31">
        <f>'Avaliação Física 2'!J84</f>
        <v>0</v>
      </c>
      <c r="AL16" s="31">
        <f>'Avaliação Física 2'!L84</f>
        <v>0</v>
      </c>
      <c r="AP16" s="314" t="s">
        <v>92</v>
      </c>
      <c r="AR16" s="314" t="s">
        <v>93</v>
      </c>
      <c r="BC16" s="133"/>
      <c r="BD16" s="126"/>
      <c r="BE16" s="314"/>
      <c r="BF16" s="314"/>
      <c r="BG16" s="314"/>
      <c r="BH16" s="314"/>
      <c r="BI16" s="126" t="s">
        <v>136</v>
      </c>
      <c r="BJ16" s="126"/>
      <c r="BK16" s="53"/>
      <c r="BL16" s="314"/>
      <c r="BM16" s="314"/>
      <c r="BN16" s="50"/>
      <c r="BS16" s="126" t="s">
        <v>137</v>
      </c>
      <c r="BT16" s="126"/>
      <c r="BU16" s="52"/>
      <c r="CM16" s="50"/>
      <c r="CR16" s="126" t="s">
        <v>136</v>
      </c>
      <c r="CS16" s="126"/>
      <c r="CT16" s="52"/>
      <c r="CU16" s="53"/>
      <c r="CV16" s="314"/>
      <c r="CW16" s="314"/>
      <c r="CX16" s="50"/>
      <c r="DC16" s="126" t="s">
        <v>137</v>
      </c>
      <c r="DD16" s="126"/>
      <c r="DE16" s="52"/>
      <c r="DT16" s="426" t="s">
        <v>19</v>
      </c>
      <c r="DU16" s="426"/>
      <c r="DV16" s="31">
        <f>'Avaliação Física 2'!F78</f>
        <v>0</v>
      </c>
      <c r="EH16" s="6" t="s">
        <v>26</v>
      </c>
      <c r="EI16" s="6" t="s">
        <v>27</v>
      </c>
      <c r="EL16" s="20" t="s">
        <v>40</v>
      </c>
      <c r="EM16" s="21" t="e">
        <f>((4.95/EI12)-4.5)*100</f>
        <v>#VALUE!</v>
      </c>
      <c r="EN16" s="22"/>
    </row>
    <row r="17" spans="2:144" ht="6" customHeight="1" thickBot="1" x14ac:dyDescent="0.25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S17" s="107"/>
      <c r="T17" s="107"/>
      <c r="U17" s="107"/>
      <c r="V17" s="106"/>
      <c r="AH17" s="126" t="s">
        <v>54</v>
      </c>
      <c r="AI17" s="126"/>
      <c r="AJ17" s="31">
        <f>'Avaliação Física 2'!J85</f>
        <v>0</v>
      </c>
      <c r="AL17" s="31">
        <f>'Avaliação Física 2'!L85</f>
        <v>0</v>
      </c>
      <c r="AN17" s="126" t="s">
        <v>12</v>
      </c>
      <c r="AO17" s="138"/>
      <c r="AP17" s="113"/>
      <c r="AR17" s="113"/>
      <c r="AU17" s="122" t="s">
        <v>37</v>
      </c>
      <c r="AV17" s="122"/>
      <c r="AY17" s="121" t="s">
        <v>27</v>
      </c>
      <c r="AZ17" s="121"/>
      <c r="BC17" s="134"/>
      <c r="BD17" s="85"/>
      <c r="BE17" s="122" t="s">
        <v>37</v>
      </c>
      <c r="BF17" s="122"/>
      <c r="BI17" s="121" t="s">
        <v>27</v>
      </c>
      <c r="BJ17" s="121"/>
      <c r="BK17" s="54"/>
      <c r="BL17" s="114"/>
      <c r="BM17" s="114"/>
      <c r="BN17" s="50"/>
      <c r="BO17" s="122" t="s">
        <v>37</v>
      </c>
      <c r="BP17" s="122"/>
      <c r="BS17" s="121" t="s">
        <v>27</v>
      </c>
      <c r="BT17" s="121"/>
      <c r="BU17" s="52"/>
      <c r="BZ17" s="126" t="s">
        <v>41</v>
      </c>
      <c r="CA17" s="126"/>
      <c r="CB17" s="144">
        <f>CB9</f>
        <v>0</v>
      </c>
      <c r="CC17" s="145"/>
      <c r="CD17" s="126" t="s">
        <v>148</v>
      </c>
      <c r="CE17" s="126"/>
      <c r="CF17" s="144" t="str">
        <f>CF9</f>
        <v>-</v>
      </c>
      <c r="CG17" s="145"/>
      <c r="CM17" s="50"/>
      <c r="CN17" s="122" t="s">
        <v>37</v>
      </c>
      <c r="CO17" s="122"/>
      <c r="CR17" s="121" t="s">
        <v>27</v>
      </c>
      <c r="CS17" s="121"/>
      <c r="CT17" s="52"/>
      <c r="CU17" s="54"/>
      <c r="CV17" s="114"/>
      <c r="CW17" s="114"/>
      <c r="CX17" s="50"/>
      <c r="CY17" s="122" t="s">
        <v>37</v>
      </c>
      <c r="CZ17" s="122"/>
      <c r="DC17" s="121" t="s">
        <v>27</v>
      </c>
      <c r="DD17" s="121"/>
      <c r="DE17" s="52"/>
      <c r="DH17" s="122" t="s">
        <v>37</v>
      </c>
      <c r="DI17" s="122"/>
      <c r="DK17" s="123" t="s">
        <v>135</v>
      </c>
      <c r="DL17" s="123"/>
      <c r="DT17" s="426" t="s">
        <v>20</v>
      </c>
      <c r="DU17" s="426"/>
      <c r="DV17" s="31">
        <f>'Avaliação Física 2'!J77</f>
        <v>0</v>
      </c>
      <c r="EH17" s="7">
        <v>0</v>
      </c>
      <c r="EI17" s="7" t="s">
        <v>28</v>
      </c>
      <c r="EL17" s="24"/>
      <c r="EM17" s="25"/>
      <c r="EN17" s="26"/>
    </row>
    <row r="18" spans="2:144" ht="15" x14ac:dyDescent="0.2">
      <c r="B18" s="227"/>
      <c r="C18" s="362" t="s">
        <v>202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227"/>
      <c r="S18" s="106"/>
      <c r="T18" s="106"/>
      <c r="U18" s="106"/>
      <c r="V18" s="106"/>
      <c r="AH18" s="126" t="s">
        <v>55</v>
      </c>
      <c r="AI18" s="126"/>
      <c r="AJ18" s="31">
        <f>'Avaliação Física 2'!J86</f>
        <v>0</v>
      </c>
      <c r="AL18" s="31">
        <f>'Avaliação Física 2'!L86</f>
        <v>0</v>
      </c>
      <c r="AU18" s="124" t="s">
        <v>64</v>
      </c>
      <c r="AV18" s="124"/>
      <c r="AY18" s="121" t="str">
        <f>IF(AND(AV15=0,AX14&lt;=29),VLOOKUP(AZ13,AU19:AV22,2,TRUE),IF(AND(AV15=0,AX14&lt;=39),VLOOKUP(AZ13,AU26:AV29,2,TRUE),IF(AND(AV15=0,AX14&lt;=49),VLOOKUP(AZ13,AU32:AV36,2,TRUE),IF(AND(AV15=0,AX14&lt;=59),VLOOKUP(AZ13,AU38:AV41,2,TRUE),IF(AND(AV15=0,AX14&lt;=69),VLOOKUP(AZ13,AU44:AV47,2,TRUE),IF(AND(AV15=1,AX14&lt;=29),VLOOKUP(AZ13,AX25:AY28,2,TRUE),IF(AND(AV15=1,AX14&lt;=39),VLOOKUP(AZ13,AX32:AY35,2,TRUE),IF(AND(AV15=1,AX14&lt;=49),VLOOKUP(AZ13,AX38:AY41,2,TRUE),IF(AND(AV15=1,AX14&lt;=59),VLOOKUP(AZ13,AX44:AY47,2,TRUE),IF(AND(AV15=1,AX14&lt;=69),VLOOKUP(AZ13,AX50:AY53,2,TRUE),"-"))))))))))</f>
        <v>-</v>
      </c>
      <c r="AZ18" s="121"/>
      <c r="BC18" s="134"/>
      <c r="BD18" s="85"/>
      <c r="BE18" s="124" t="s">
        <v>64</v>
      </c>
      <c r="BF18" s="124"/>
      <c r="BI18" s="121" t="str">
        <f>IF(AND(BF15=0,BH14&lt;=29),VLOOKUP(BJ13,BE19:BF22,2,TRUE),IF(AND(BF15=0,BH14&lt;=39),VLOOKUP(BJ13,BE26:BF27,2,TRUE),IF(AND(BF15=0,BH14&lt;=49),VLOOKUP(BJ13,#REF!,2,TRUE),IF(AND(BF15=0,BH14&lt;=59),VLOOKUP(BJ13,#REF!,2,TRUE),IF(AND(BF15=0,BH14&lt;=69),VLOOKUP(BJ13,BE28:BF31,2,TRUE),IF(AND(BF15=1,BH14&lt;=29),VLOOKUP(BJ13,BH25:BI27,2,TRUE),IF(AND(BF15=1,BH14&lt;=39),VLOOKUP(BJ13,#REF!,2,TRUE),IF(AND(BF15=1,BH14&lt;=49),VLOOKUP(BJ13,#REF!,2,TRUE),IF(AND(BF15=1,BH14&lt;=59),VLOOKUP(BJ13,BH28:BI31,2,TRUE),IF(AND(BF15=1,BH14&lt;=69),VLOOKUP(BJ13,BH34:BI40,2,TRUE),"-"))))))))))</f>
        <v>-</v>
      </c>
      <c r="BJ18" s="121"/>
      <c r="BK18" s="54"/>
      <c r="BL18" s="114"/>
      <c r="BM18" s="114"/>
      <c r="BN18" s="50"/>
      <c r="BO18" s="124" t="s">
        <v>139</v>
      </c>
      <c r="BP18" s="124"/>
      <c r="BS18" s="121" t="str">
        <f>IF(AND(BP15=0,BR14&lt;=19),VLOOKUP(BT13,BO19:BP23,2,TRUE),IF(AND(BP15=0,BR14&lt;=29),VLOOKUP(BT13,BO26:BP27,2,TRUE),IF(AND(BP15=0,BR14&lt;=39),VLOOKUP(BT13,#REF!,2,TRUE),IF(AND(BP15=0,BR14&lt;=49),VLOOKUP(BT13,#REF!,2,TRUE),IF(AND(BP15=0,BR14&lt;=59),VLOOKUP(BT13,BO28:BP31,2,TRUE),IF(AND(BP15=0,BR14&lt;=69),VLOOKUP(BT13,BO38:BP42,2,TRUE),IF(AND(BP15=1,BR14&lt;=19),VLOOKUP(BT13,BR25:BS27,2,TRUE),IF(AND(BP15=1,BR14&lt;=29),VLOOKUP(BT13,#REF!,2,TRUE),IF(AND(BP15=1,BR14&lt;=39),VLOOKUP(BT13,#REF!,2,TRUE),IF(AND(BP15=1,BR14&lt;=49),VLOOKUP(BT13,BR28:BS31,2,TRUE),IF(AND(BP15=1,BR14&lt;=59),VLOOKUP(BT13,BR34:BS40,2,TRUE),IF(AND(BP15=1,BR14&lt;=69),VLOOKUP(BT13,BR44:BS48,2,TRUE),"-"))))))))))))</f>
        <v>-</v>
      </c>
      <c r="BT18" s="121"/>
      <c r="BU18" s="52"/>
      <c r="CF18" s="126"/>
      <c r="CG18" s="126"/>
      <c r="CM18" s="50"/>
      <c r="CN18" s="124" t="s">
        <v>139</v>
      </c>
      <c r="CO18" s="124"/>
      <c r="CR18" s="121" t="str">
        <f>IF(AND(CO15=0,CQ14&lt;=19),VLOOKUP(CS13,CN19:CO23,2,TRUE),IF(AND(CO15=0,CQ14&lt;=29),VLOOKUP(CS13,CN26:CO30,2,TRUE),IF(AND(CO15=0,CQ14&lt;=39),VLOOKUP(CS13,CN32:CO36,2,TRUE),IF(AND(CO15=0,CQ14&lt;=49),VLOOKUP(CS13,CN38:CO42,2,TRUE),IF(AND(CO15=0,CQ14&lt;=59),VLOOKUP(CS13,CN44:CO48,2,TRUE),IF(AND(CO15=0,CQ14&lt;=69),VLOOKUP(CS13,CN51:CO55,2,TRUE),IF(AND(CO15=1,CQ14&lt;=19),VLOOKUP(CS13,CQ25:CR29,2,TRUE),IF(AND(CO15=1,CQ14&lt;=29),VLOOKUP(CS13,CQ32:CR36,2,TRUE),IF(AND(CO15=1,CQ14&lt;=39),VLOOKUP(CS13,CQ38:CR42,2,TRUE),IF(AND(CO15=1,CQ14&lt;=49),VLOOKUP(CS13,CQ44:CR48,2,TRUE),IF(AND(CO15=1,CQ14&lt;=59),VLOOKUP(CS13,CQ50:CR54,2,TRUE),IF(AND(CO15=1,CQ14&lt;=69),VLOOKUP(CS13,CQ57:CR61,2,TRUE),"-"))))))))))))</f>
        <v>-</v>
      </c>
      <c r="CS18" s="121"/>
      <c r="CT18" s="52"/>
      <c r="CU18" s="54"/>
      <c r="CV18" s="114"/>
      <c r="CW18" s="114"/>
      <c r="CX18" s="50"/>
      <c r="CY18" s="124" t="s">
        <v>139</v>
      </c>
      <c r="CZ18" s="124"/>
      <c r="DC18" s="121" t="str">
        <f>IF(AND(CZ15=0,DB14&lt;=19),VLOOKUP(DD13,CY19:CZ23,2,TRUE),IF(AND(CZ15=0,DB14&lt;=29),VLOOKUP(DD13,CY26:CZ30,2,TRUE),IF(AND(CZ15=0,DB14&lt;=39),VLOOKUP(DD13,CY32:CZ36,2,TRUE),IF(AND(CZ15=0,DB14&lt;=49),VLOOKUP(DD13,CY38:CZ42,2,TRUE),IF(AND(CZ15=0,DB14&lt;=59),VLOOKUP(DD13,CY44:CZ48,2,TRUE),IF(AND(CZ15=0,DB14&lt;=69),VLOOKUP(DD13,CY51:CZ55,2,TRUE),IF(AND(CZ15=1,DB14&lt;=19),VLOOKUP(DD13,DB25:DC28,2,TRUE),IF(AND(CZ15=1,DB14&lt;=29),VLOOKUP(DD13,DB32:DC36,2,TRUE),IF(AND(CZ15=1,DB14&lt;=39),VLOOKUP(DD13,DB38:DC42,2,TRUE),IF(AND(CZ15=1,DB14&lt;=49),VLOOKUP(DD13,DB44:DC48,2,TRUE),IF(AND(CZ15=1,DB14&lt;=59),VLOOKUP(DD13,DB50:DC54,2,TRUE),IF(AND(CZ15=1,DB14&lt;=69),VLOOKUP(DD13,DB57:DC61,2,TRUE),"-"))))))))))))</f>
        <v>-</v>
      </c>
      <c r="DD18" s="121"/>
      <c r="DE18" s="52"/>
      <c r="DH18" s="124" t="s">
        <v>195</v>
      </c>
      <c r="DI18" s="124"/>
      <c r="DK18" s="125" t="s">
        <v>195</v>
      </c>
      <c r="DL18" s="125"/>
      <c r="DT18" s="426" t="s">
        <v>21</v>
      </c>
      <c r="DU18" s="426"/>
      <c r="DV18" s="31">
        <f>'Avaliação Física 2'!J78</f>
        <v>0</v>
      </c>
      <c r="EH18" s="7">
        <v>16.100000000000001</v>
      </c>
      <c r="EI18" s="7" t="s">
        <v>29</v>
      </c>
    </row>
    <row r="19" spans="2:144" ht="15.75" thickBot="1" x14ac:dyDescent="0.25">
      <c r="B19" s="227"/>
      <c r="C19" s="238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76"/>
      <c r="P19" s="277"/>
      <c r="Q19" s="227"/>
      <c r="AH19" s="126" t="s">
        <v>56</v>
      </c>
      <c r="AI19" s="126"/>
      <c r="AJ19" s="31">
        <f>'Avaliação Física 2'!J87</f>
        <v>0</v>
      </c>
      <c r="AL19" s="31">
        <f>'Avaliação Física 2'!L87</f>
        <v>0</v>
      </c>
      <c r="AN19" s="126" t="s">
        <v>91</v>
      </c>
      <c r="AO19" s="138"/>
      <c r="AP19" s="31"/>
      <c r="AQ19" s="131" t="s">
        <v>94</v>
      </c>
      <c r="AR19" s="126"/>
      <c r="AU19" s="33">
        <v>0.01</v>
      </c>
      <c r="AV19" s="34" t="s">
        <v>126</v>
      </c>
      <c r="BC19" s="134"/>
      <c r="BD19" s="85"/>
      <c r="BE19" s="33">
        <v>0.01</v>
      </c>
      <c r="BF19" s="34" t="s">
        <v>126</v>
      </c>
      <c r="BK19" s="54"/>
      <c r="BL19" s="114"/>
      <c r="BM19" s="114"/>
      <c r="BN19" s="50"/>
      <c r="BO19" s="58">
        <v>1</v>
      </c>
      <c r="BP19" s="34" t="s">
        <v>144</v>
      </c>
      <c r="BU19" s="52"/>
      <c r="BZ19" s="126"/>
      <c r="CA19" s="126"/>
      <c r="CM19" s="50"/>
      <c r="CN19" s="67">
        <v>0</v>
      </c>
      <c r="CO19" s="34" t="s">
        <v>144</v>
      </c>
      <c r="CT19" s="52"/>
      <c r="CU19" s="54"/>
      <c r="CV19" s="114"/>
      <c r="CW19" s="114"/>
      <c r="CX19" s="50"/>
      <c r="CY19" s="67">
        <v>0</v>
      </c>
      <c r="CZ19" s="34" t="s">
        <v>144</v>
      </c>
      <c r="DE19" s="52"/>
      <c r="DH19" s="67">
        <v>0</v>
      </c>
      <c r="DI19" s="34" t="s">
        <v>196</v>
      </c>
      <c r="DK19" s="63">
        <v>0</v>
      </c>
      <c r="DL19" s="37" t="s">
        <v>196</v>
      </c>
      <c r="DT19" s="426" t="s">
        <v>43</v>
      </c>
      <c r="DU19" s="426"/>
      <c r="DV19" s="31">
        <f>'Avaliação Física 2'!J79</f>
        <v>0</v>
      </c>
      <c r="EH19" s="7">
        <v>17</v>
      </c>
      <c r="EI19" s="7" t="s">
        <v>30</v>
      </c>
    </row>
    <row r="20" spans="2:144" ht="15" x14ac:dyDescent="0.2">
      <c r="B20" s="227"/>
      <c r="C20" s="240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21"/>
      <c r="P20" s="278"/>
      <c r="Q20" s="227"/>
      <c r="AU20" s="34">
        <v>0.71</v>
      </c>
      <c r="AV20" s="34" t="s">
        <v>127</v>
      </c>
      <c r="BC20" s="134"/>
      <c r="BD20" s="85"/>
      <c r="BE20" s="34">
        <v>0.71</v>
      </c>
      <c r="BF20" s="34" t="s">
        <v>127</v>
      </c>
      <c r="BK20" s="54"/>
      <c r="BL20" s="114"/>
      <c r="BM20" s="114"/>
      <c r="BN20" s="50"/>
      <c r="BO20" s="58">
        <v>12</v>
      </c>
      <c r="BP20" s="34" t="s">
        <v>143</v>
      </c>
      <c r="BU20" s="52"/>
      <c r="BZ20" s="126" t="s">
        <v>149</v>
      </c>
      <c r="CA20" s="126"/>
      <c r="CB20" s="126"/>
      <c r="CC20" s="126"/>
      <c r="CD20" s="113">
        <f>'Avaliação Física 2'!L272</f>
        <v>0</v>
      </c>
      <c r="CF20" s="126" t="s">
        <v>150</v>
      </c>
      <c r="CG20" s="126"/>
      <c r="CH20" s="44" t="str">
        <f>IF(CD20="","-",CR18)</f>
        <v>-</v>
      </c>
      <c r="CI20" s="21"/>
      <c r="CM20" s="50"/>
      <c r="CN20" s="67">
        <v>27</v>
      </c>
      <c r="CO20" s="34" t="s">
        <v>143</v>
      </c>
      <c r="CT20" s="52"/>
      <c r="CU20" s="54"/>
      <c r="CV20" s="114"/>
      <c r="CW20" s="114"/>
      <c r="CX20" s="50"/>
      <c r="CY20" s="67">
        <v>12</v>
      </c>
      <c r="CZ20" s="34" t="s">
        <v>143</v>
      </c>
      <c r="DE20" s="52"/>
      <c r="DH20" s="67">
        <v>24</v>
      </c>
      <c r="DI20" s="34" t="s">
        <v>144</v>
      </c>
      <c r="DK20" s="63">
        <v>25</v>
      </c>
      <c r="DL20" s="37" t="s">
        <v>144</v>
      </c>
      <c r="DT20" s="426" t="s">
        <v>22</v>
      </c>
      <c r="DU20" s="426"/>
      <c r="DV20" s="31">
        <f>'Avaliação Física 2'!N77</f>
        <v>0</v>
      </c>
      <c r="EH20" s="7">
        <v>18.5</v>
      </c>
      <c r="EI20" s="7" t="s">
        <v>31</v>
      </c>
      <c r="EL20" s="17" t="s">
        <v>42</v>
      </c>
    </row>
    <row r="21" spans="2:144" ht="6" customHeight="1" thickBot="1" x14ac:dyDescent="0.25">
      <c r="B21" s="227"/>
      <c r="C21" s="241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79"/>
      <c r="P21" s="280"/>
      <c r="Q21" s="227"/>
      <c r="AH21" s="135" t="s">
        <v>60</v>
      </c>
      <c r="AI21" s="135"/>
      <c r="AJ21" s="135"/>
      <c r="AK21" s="135"/>
      <c r="AL21" s="135"/>
      <c r="AU21" s="34">
        <v>0.78</v>
      </c>
      <c r="AV21" s="34" t="s">
        <v>128</v>
      </c>
      <c r="BC21" s="134"/>
      <c r="BD21" s="85"/>
      <c r="BE21" s="34">
        <v>0.78</v>
      </c>
      <c r="BF21" s="34" t="s">
        <v>128</v>
      </c>
      <c r="BK21" s="54"/>
      <c r="BL21" s="114"/>
      <c r="BM21" s="114"/>
      <c r="BN21" s="50"/>
      <c r="BO21" s="58">
        <v>18</v>
      </c>
      <c r="BP21" s="34" t="s">
        <v>142</v>
      </c>
      <c r="BU21" s="52"/>
      <c r="CM21" s="50"/>
      <c r="CN21" s="67">
        <v>32</v>
      </c>
      <c r="CO21" s="34" t="s">
        <v>142</v>
      </c>
      <c r="CT21" s="52"/>
      <c r="CU21" s="54"/>
      <c r="CV21" s="114"/>
      <c r="CW21" s="114"/>
      <c r="CX21" s="50"/>
      <c r="CY21" s="67">
        <v>18</v>
      </c>
      <c r="CZ21" s="34" t="s">
        <v>142</v>
      </c>
      <c r="DE21" s="52"/>
      <c r="DH21" s="67">
        <v>31</v>
      </c>
      <c r="DI21" s="34" t="s">
        <v>143</v>
      </c>
      <c r="DK21" s="63">
        <v>34</v>
      </c>
      <c r="DL21" s="37" t="s">
        <v>143</v>
      </c>
      <c r="DT21" s="426" t="s">
        <v>23</v>
      </c>
      <c r="DU21" s="426"/>
      <c r="DV21" s="31">
        <f>'Avaliação Física 2'!N78</f>
        <v>0</v>
      </c>
      <c r="EH21" s="7">
        <v>24.5</v>
      </c>
      <c r="EI21" s="7" t="s">
        <v>32</v>
      </c>
      <c r="EL21" s="18" t="e">
        <f>IF(EJ4=0,SUM(1.097-(0.00046971*(DV23))+(0.00000056*(DV23*DV23))-(0.00012828*(DV9))),SUM(1.112-(0.00043499*(DV23))+(0.00000055*(DV23*DV23))-(0.00028826*(DV9))))</f>
        <v>#VALUE!</v>
      </c>
    </row>
    <row r="22" spans="2:144" ht="5.45" customHeight="1" x14ac:dyDescent="0.2">
      <c r="B22" s="227"/>
      <c r="Q22" s="227"/>
      <c r="AH22" s="314"/>
      <c r="AI22" s="314"/>
      <c r="AJ22" s="314" t="s">
        <v>57</v>
      </c>
      <c r="AK22" s="314"/>
      <c r="AL22" s="314" t="s">
        <v>58</v>
      </c>
      <c r="AU22" s="34">
        <v>0.83</v>
      </c>
      <c r="AV22" s="34" t="s">
        <v>129</v>
      </c>
      <c r="BC22" s="50"/>
      <c r="BE22" s="34">
        <v>0.83</v>
      </c>
      <c r="BF22" s="34" t="s">
        <v>129</v>
      </c>
      <c r="BK22" s="54"/>
      <c r="BL22" s="114"/>
      <c r="BM22" s="114"/>
      <c r="BN22" s="50"/>
      <c r="BO22" s="58">
        <v>25</v>
      </c>
      <c r="BP22" s="34" t="s">
        <v>140</v>
      </c>
      <c r="BU22" s="52"/>
      <c r="BZ22" s="310"/>
      <c r="CA22" s="310"/>
      <c r="CF22" s="126"/>
      <c r="CG22" s="126"/>
      <c r="CH22" s="126"/>
      <c r="CI22" s="126"/>
      <c r="CM22" s="50"/>
      <c r="CN22" s="67">
        <v>36</v>
      </c>
      <c r="CO22" s="34" t="s">
        <v>140</v>
      </c>
      <c r="CT22" s="52"/>
      <c r="CU22" s="54"/>
      <c r="CV22" s="114"/>
      <c r="CW22" s="114"/>
      <c r="CX22" s="50"/>
      <c r="CY22" s="67">
        <v>25</v>
      </c>
      <c r="CZ22" s="34" t="s">
        <v>140</v>
      </c>
      <c r="DE22" s="52"/>
      <c r="DH22" s="67">
        <v>38</v>
      </c>
      <c r="DI22" s="34" t="s">
        <v>140</v>
      </c>
      <c r="DK22" s="63">
        <v>45</v>
      </c>
      <c r="DL22" s="37" t="s">
        <v>140</v>
      </c>
      <c r="EH22" s="7">
        <v>30</v>
      </c>
      <c r="EI22" s="7" t="s">
        <v>33</v>
      </c>
    </row>
    <row r="23" spans="2:144" ht="15" customHeight="1" thickBot="1" x14ac:dyDescent="0.25">
      <c r="B23" s="227"/>
      <c r="C23" s="362" t="s">
        <v>225</v>
      </c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227"/>
      <c r="AH23" s="136" t="s">
        <v>224</v>
      </c>
      <c r="AI23" s="137"/>
      <c r="AJ23" s="31"/>
      <c r="AL23" s="31"/>
      <c r="AU23" s="35"/>
      <c r="AV23" s="35"/>
      <c r="AX23" s="123" t="s">
        <v>135</v>
      </c>
      <c r="AY23" s="123"/>
      <c r="AZ23" s="21"/>
      <c r="BC23" s="134"/>
      <c r="BD23" s="85"/>
      <c r="BE23" s="35"/>
      <c r="BF23" s="35"/>
      <c r="BH23" s="123" t="s">
        <v>135</v>
      </c>
      <c r="BI23" s="123"/>
      <c r="BJ23" s="21"/>
      <c r="BK23" s="54"/>
      <c r="BL23" s="114"/>
      <c r="BM23" s="114"/>
      <c r="BN23" s="50"/>
      <c r="BO23" s="35">
        <v>33</v>
      </c>
      <c r="BP23" s="35" t="s">
        <v>141</v>
      </c>
      <c r="BR23" s="123" t="s">
        <v>135</v>
      </c>
      <c r="BS23" s="123"/>
      <c r="BT23" s="21"/>
      <c r="BU23" s="52"/>
      <c r="CM23" s="50"/>
      <c r="CN23" s="66">
        <v>42</v>
      </c>
      <c r="CO23" s="35" t="s">
        <v>141</v>
      </c>
      <c r="CQ23" s="123" t="s">
        <v>135</v>
      </c>
      <c r="CR23" s="123"/>
      <c r="CS23" s="21"/>
      <c r="CT23" s="52"/>
      <c r="CU23" s="54"/>
      <c r="CV23" s="114"/>
      <c r="CW23" s="114"/>
      <c r="CX23" s="50"/>
      <c r="CY23" s="66">
        <v>33</v>
      </c>
      <c r="CZ23" s="35" t="s">
        <v>141</v>
      </c>
      <c r="DB23" s="123" t="s">
        <v>135</v>
      </c>
      <c r="DC23" s="123"/>
      <c r="DD23" s="21"/>
      <c r="DE23" s="52"/>
      <c r="DH23" s="66">
        <v>49</v>
      </c>
      <c r="DI23" s="35" t="s">
        <v>141</v>
      </c>
      <c r="DK23" s="64">
        <v>53</v>
      </c>
      <c r="DL23" s="38" t="s">
        <v>141</v>
      </c>
      <c r="DT23" s="426" t="s">
        <v>24</v>
      </c>
      <c r="DU23" s="426"/>
      <c r="DV23" s="8">
        <f>IF(DV15="","-",SUM(DV15:DV21))</f>
        <v>0</v>
      </c>
      <c r="EH23" s="7">
        <v>35</v>
      </c>
      <c r="EI23" s="7" t="s">
        <v>34</v>
      </c>
    </row>
    <row r="24" spans="2:144" ht="14.45" customHeight="1" x14ac:dyDescent="0.2">
      <c r="C24" s="23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  <c r="AH24" s="139"/>
      <c r="AI24" s="140"/>
      <c r="AJ24" s="31"/>
      <c r="AL24" s="31"/>
      <c r="AU24" s="35"/>
      <c r="AV24" s="35"/>
      <c r="AX24" s="125" t="s">
        <v>64</v>
      </c>
      <c r="AY24" s="125"/>
      <c r="BC24" s="134"/>
      <c r="BD24" s="85"/>
      <c r="BE24" s="35"/>
      <c r="BF24" s="35"/>
      <c r="BH24" s="125" t="s">
        <v>64</v>
      </c>
      <c r="BI24" s="125"/>
      <c r="BK24" s="54"/>
      <c r="BL24" s="114"/>
      <c r="BM24" s="114"/>
      <c r="BN24" s="50"/>
      <c r="BO24" s="35"/>
      <c r="BP24" s="35"/>
      <c r="BR24" s="125" t="s">
        <v>147</v>
      </c>
      <c r="BS24" s="125"/>
      <c r="BU24" s="52"/>
      <c r="CM24" s="50"/>
      <c r="CN24" s="35"/>
      <c r="CO24" s="35"/>
      <c r="CQ24" s="125" t="s">
        <v>147</v>
      </c>
      <c r="CR24" s="125"/>
      <c r="CT24" s="52"/>
      <c r="CU24" s="54"/>
      <c r="CV24" s="114"/>
      <c r="CW24" s="114"/>
      <c r="CX24" s="50"/>
      <c r="CY24" s="35"/>
      <c r="CZ24" s="35"/>
      <c r="DB24" s="125" t="s">
        <v>147</v>
      </c>
      <c r="DC24" s="125"/>
      <c r="DE24" s="52"/>
      <c r="DH24" s="35"/>
      <c r="DI24" s="35"/>
      <c r="DK24" s="38"/>
      <c r="DL24" s="38"/>
      <c r="EH24" s="7"/>
      <c r="EI24" s="7"/>
      <c r="EL24" s="13"/>
    </row>
    <row r="25" spans="2:144" ht="14.45" customHeight="1" x14ac:dyDescent="0.2">
      <c r="C25" s="240"/>
      <c r="D25" s="221" t="s">
        <v>247</v>
      </c>
      <c r="E25" s="221"/>
      <c r="F25" s="221"/>
      <c r="G25" s="221"/>
      <c r="H25" s="221"/>
      <c r="I25" s="221"/>
      <c r="J25" s="460"/>
      <c r="K25" s="460"/>
      <c r="L25" s="460"/>
      <c r="M25" s="460"/>
      <c r="N25" s="460"/>
      <c r="O25" s="221"/>
      <c r="P25" s="278"/>
      <c r="AH25" s="139"/>
      <c r="AI25" s="140"/>
      <c r="AJ25" s="31"/>
      <c r="AL25" s="31"/>
      <c r="AU25" s="124" t="s">
        <v>65</v>
      </c>
      <c r="AV25" s="124"/>
      <c r="AX25" s="40">
        <v>0.01</v>
      </c>
      <c r="AY25" s="37" t="s">
        <v>126</v>
      </c>
      <c r="BC25" s="134"/>
      <c r="BD25" s="85"/>
      <c r="BE25" s="124" t="s">
        <v>65</v>
      </c>
      <c r="BF25" s="124"/>
      <c r="BH25" s="40">
        <v>0.01</v>
      </c>
      <c r="BI25" s="37" t="s">
        <v>126</v>
      </c>
      <c r="BK25" s="54"/>
      <c r="BL25" s="114"/>
      <c r="BM25" s="114"/>
      <c r="BN25" s="50"/>
      <c r="BO25" s="124" t="s">
        <v>145</v>
      </c>
      <c r="BP25" s="124"/>
      <c r="BR25" s="63">
        <v>1</v>
      </c>
      <c r="BS25" s="37" t="s">
        <v>144</v>
      </c>
      <c r="BU25" s="52"/>
      <c r="BZ25" s="126" t="s">
        <v>41</v>
      </c>
      <c r="CA25" s="126"/>
      <c r="CB25" s="144">
        <f>CB17</f>
        <v>0</v>
      </c>
      <c r="CC25" s="145"/>
      <c r="CD25" s="126" t="s">
        <v>148</v>
      </c>
      <c r="CE25" s="126"/>
      <c r="CF25" s="144" t="str">
        <f>CF17</f>
        <v>-</v>
      </c>
      <c r="CG25" s="145"/>
      <c r="CH25" s="131" t="s">
        <v>197</v>
      </c>
      <c r="CI25" s="138"/>
      <c r="CJ25" s="10">
        <f>'Avaliação Física 2'!DV11</f>
        <v>0</v>
      </c>
      <c r="CM25" s="50"/>
      <c r="CN25" s="124" t="s">
        <v>145</v>
      </c>
      <c r="CO25" s="124"/>
      <c r="CQ25" s="63">
        <v>0</v>
      </c>
      <c r="CR25" s="37" t="s">
        <v>144</v>
      </c>
      <c r="CT25" s="52"/>
      <c r="CU25" s="54"/>
      <c r="CV25" s="114"/>
      <c r="CW25" s="114"/>
      <c r="CX25" s="50"/>
      <c r="CY25" s="124" t="s">
        <v>145</v>
      </c>
      <c r="CZ25" s="124"/>
      <c r="DB25" s="63">
        <v>0</v>
      </c>
      <c r="DC25" s="37" t="s">
        <v>144</v>
      </c>
      <c r="DE25" s="52"/>
      <c r="DH25" s="124" t="s">
        <v>65</v>
      </c>
      <c r="DI25" s="124"/>
      <c r="DK25" s="125" t="s">
        <v>65</v>
      </c>
      <c r="DL25" s="125"/>
      <c r="DU25" s="135"/>
      <c r="DV25" s="135" t="s">
        <v>25</v>
      </c>
      <c r="EH25" s="7">
        <v>40</v>
      </c>
      <c r="EI25" s="7" t="s">
        <v>35</v>
      </c>
      <c r="EL25" s="16" t="s">
        <v>47</v>
      </c>
    </row>
    <row r="26" spans="2:144" ht="14.45" customHeight="1" x14ac:dyDescent="0.2">
      <c r="C26" s="240"/>
      <c r="D26" s="221" t="s">
        <v>248</v>
      </c>
      <c r="E26" s="221"/>
      <c r="F26" s="221"/>
      <c r="G26" s="221"/>
      <c r="H26" s="221"/>
      <c r="I26" s="221"/>
      <c r="J26" s="460"/>
      <c r="K26" s="460"/>
      <c r="L26" s="460"/>
      <c r="M26" s="460"/>
      <c r="N26" s="460"/>
      <c r="O26" s="221"/>
      <c r="P26" s="278"/>
      <c r="AH26" s="139"/>
      <c r="AI26" s="140"/>
      <c r="AJ26" s="31"/>
      <c r="AL26" s="31"/>
      <c r="AO26" s="132"/>
      <c r="AP26" s="132"/>
      <c r="AU26" s="36">
        <v>0.01</v>
      </c>
      <c r="AV26" s="34" t="s">
        <v>126</v>
      </c>
      <c r="AX26" s="110">
        <v>0.83</v>
      </c>
      <c r="AY26" s="37" t="s">
        <v>127</v>
      </c>
      <c r="BC26" s="134"/>
      <c r="BD26" s="85"/>
      <c r="BE26" s="36">
        <v>0.01</v>
      </c>
      <c r="BF26" s="34" t="s">
        <v>126</v>
      </c>
      <c r="BH26" s="110">
        <v>0.83</v>
      </c>
      <c r="BI26" s="37" t="s">
        <v>127</v>
      </c>
      <c r="BK26" s="54"/>
      <c r="BL26" s="114"/>
      <c r="BM26" s="114"/>
      <c r="BN26" s="50"/>
      <c r="BO26" s="59">
        <v>1</v>
      </c>
      <c r="BP26" s="34" t="s">
        <v>144</v>
      </c>
      <c r="BR26" s="63">
        <v>18</v>
      </c>
      <c r="BS26" s="37" t="s">
        <v>143</v>
      </c>
      <c r="BU26" s="52"/>
      <c r="CF26" s="126"/>
      <c r="CG26" s="126"/>
      <c r="CM26" s="50"/>
      <c r="CN26" s="59">
        <v>0</v>
      </c>
      <c r="CO26" s="34" t="s">
        <v>144</v>
      </c>
      <c r="CQ26" s="63">
        <v>33</v>
      </c>
      <c r="CR26" s="37" t="s">
        <v>143</v>
      </c>
      <c r="CT26" s="52"/>
      <c r="CU26" s="54"/>
      <c r="CV26" s="114"/>
      <c r="CW26" s="114"/>
      <c r="CX26" s="50"/>
      <c r="CY26" s="59">
        <v>0</v>
      </c>
      <c r="CZ26" s="34" t="s">
        <v>144</v>
      </c>
      <c r="DB26" s="63">
        <v>18</v>
      </c>
      <c r="DC26" s="37" t="s">
        <v>143</v>
      </c>
      <c r="DE26" s="52"/>
      <c r="DH26" s="59">
        <v>0</v>
      </c>
      <c r="DI26" s="34" t="s">
        <v>196</v>
      </c>
      <c r="DK26" s="65">
        <v>0</v>
      </c>
      <c r="DL26" s="37" t="s">
        <v>196</v>
      </c>
      <c r="DT26" s="477" t="s">
        <v>120</v>
      </c>
      <c r="DU26" s="489"/>
      <c r="DV26" s="28" t="str">
        <f>IF(DV11=0,"-",(EL26))</f>
        <v>-</v>
      </c>
      <c r="EL26" s="19" t="e">
        <f>((4.95/EL21)-4.5)*100</f>
        <v>#VALUE!</v>
      </c>
    </row>
    <row r="27" spans="2:144" ht="15" customHeight="1" thickBot="1" x14ac:dyDescent="0.25">
      <c r="C27" s="240"/>
      <c r="D27" s="221" t="s">
        <v>249</v>
      </c>
      <c r="E27" s="221"/>
      <c r="F27" s="221"/>
      <c r="G27" s="221"/>
      <c r="H27" s="221"/>
      <c r="I27" s="221"/>
      <c r="J27" s="460"/>
      <c r="K27" s="460"/>
      <c r="L27" s="460"/>
      <c r="M27" s="460"/>
      <c r="N27" s="460"/>
      <c r="O27" s="221"/>
      <c r="P27" s="278"/>
      <c r="AU27" s="36">
        <v>0.72</v>
      </c>
      <c r="AV27" s="34" t="s">
        <v>127</v>
      </c>
      <c r="AX27" s="110">
        <v>0.89</v>
      </c>
      <c r="AY27" s="37" t="s">
        <v>128</v>
      </c>
      <c r="BC27" s="134"/>
      <c r="BD27" s="85"/>
      <c r="BE27" s="36">
        <v>0.72</v>
      </c>
      <c r="BF27" s="34" t="s">
        <v>127</v>
      </c>
      <c r="BH27" s="110">
        <v>0.89</v>
      </c>
      <c r="BI27" s="37" t="s">
        <v>128</v>
      </c>
      <c r="BK27" s="54"/>
      <c r="BL27" s="114"/>
      <c r="BM27" s="114"/>
      <c r="BN27" s="50"/>
      <c r="BO27" s="59">
        <v>10</v>
      </c>
      <c r="BP27" s="34" t="s">
        <v>143</v>
      </c>
      <c r="BR27" s="63">
        <v>23</v>
      </c>
      <c r="BS27" s="37" t="s">
        <v>142</v>
      </c>
      <c r="BU27" s="52"/>
      <c r="CA27" s="126" t="s">
        <v>199</v>
      </c>
      <c r="CB27" s="126"/>
      <c r="CC27" s="126"/>
      <c r="CF27" t="s">
        <v>200</v>
      </c>
      <c r="CM27" s="50"/>
      <c r="CN27" s="59">
        <v>21</v>
      </c>
      <c r="CO27" s="34" t="s">
        <v>143</v>
      </c>
      <c r="CQ27" s="63">
        <v>38</v>
      </c>
      <c r="CR27" s="37" t="s">
        <v>142</v>
      </c>
      <c r="CT27" s="52"/>
      <c r="CU27" s="54"/>
      <c r="CV27" s="114"/>
      <c r="CW27" s="114"/>
      <c r="CX27" s="50"/>
      <c r="CY27" s="59">
        <v>10</v>
      </c>
      <c r="CZ27" s="34" t="s">
        <v>143</v>
      </c>
      <c r="DB27" s="63">
        <v>23</v>
      </c>
      <c r="DC27" s="37" t="s">
        <v>142</v>
      </c>
      <c r="DE27" s="52"/>
      <c r="DH27" s="59">
        <v>20</v>
      </c>
      <c r="DI27" s="34" t="s">
        <v>144</v>
      </c>
      <c r="DK27" s="65">
        <v>23</v>
      </c>
      <c r="DL27" s="37" t="s">
        <v>144</v>
      </c>
      <c r="DT27" s="477" t="s">
        <v>121</v>
      </c>
      <c r="DU27" s="489"/>
      <c r="DV27" s="9" t="str">
        <f>IF(DV11=0,"-",(DV11-DV28))</f>
        <v>-</v>
      </c>
      <c r="EL27" s="15"/>
    </row>
    <row r="28" spans="2:144" ht="14.45" customHeight="1" x14ac:dyDescent="0.2">
      <c r="C28" s="240"/>
      <c r="D28" s="221" t="s">
        <v>250</v>
      </c>
      <c r="E28" s="221"/>
      <c r="F28" s="221"/>
      <c r="G28" s="221"/>
      <c r="H28" s="221"/>
      <c r="I28" s="221"/>
      <c r="J28" s="460"/>
      <c r="K28" s="460"/>
      <c r="L28" s="460"/>
      <c r="M28" s="460"/>
      <c r="N28" s="460"/>
      <c r="O28" s="221"/>
      <c r="P28" s="278"/>
      <c r="AU28" s="36">
        <v>0.79</v>
      </c>
      <c r="AV28" s="34" t="s">
        <v>128</v>
      </c>
      <c r="AX28" s="110">
        <v>0.95</v>
      </c>
      <c r="AY28" s="37" t="s">
        <v>129</v>
      </c>
      <c r="BC28" s="50"/>
      <c r="BE28" s="36">
        <v>0.01</v>
      </c>
      <c r="BF28" s="34" t="s">
        <v>126</v>
      </c>
      <c r="BH28" s="39">
        <v>0.01</v>
      </c>
      <c r="BI28" s="37" t="s">
        <v>126</v>
      </c>
      <c r="BK28" s="52"/>
      <c r="BN28" s="50"/>
      <c r="BO28" s="59">
        <v>1</v>
      </c>
      <c r="BP28" s="34" t="s">
        <v>144</v>
      </c>
      <c r="BR28" s="65">
        <v>1</v>
      </c>
      <c r="BS28" s="37" t="s">
        <v>144</v>
      </c>
      <c r="BU28" s="52"/>
      <c r="CB28" s="151" t="e">
        <f>'Avaliação Física 2'!D290:E290</f>
        <v>#VALUE!</v>
      </c>
      <c r="CC28" s="152"/>
      <c r="CF28" s="155" t="e">
        <f>((CB28/1000)*60)/12</f>
        <v>#VALUE!</v>
      </c>
      <c r="CG28" s="156"/>
      <c r="CJ28" s="87" t="e">
        <f>CF28</f>
        <v>#VALUE!</v>
      </c>
      <c r="CL28" s="6"/>
      <c r="CM28" s="50"/>
      <c r="CN28" s="59">
        <v>25</v>
      </c>
      <c r="CO28" s="34" t="s">
        <v>142</v>
      </c>
      <c r="CQ28" s="63">
        <v>42</v>
      </c>
      <c r="CR28" s="37" t="s">
        <v>140</v>
      </c>
      <c r="CT28" s="52"/>
      <c r="CU28" s="52"/>
      <c r="CX28" s="50"/>
      <c r="CY28" s="59">
        <v>15</v>
      </c>
      <c r="CZ28" s="34" t="s">
        <v>142</v>
      </c>
      <c r="DB28" s="63">
        <v>29</v>
      </c>
      <c r="DC28" s="37" t="s">
        <v>140</v>
      </c>
      <c r="DE28" s="52"/>
      <c r="DH28" s="59">
        <v>28</v>
      </c>
      <c r="DI28" s="34" t="s">
        <v>143</v>
      </c>
      <c r="DK28" s="70">
        <v>31</v>
      </c>
      <c r="DL28" s="37" t="s">
        <v>143</v>
      </c>
      <c r="DT28" s="477" t="s">
        <v>122</v>
      </c>
      <c r="DU28" s="489"/>
      <c r="DV28" s="9" t="str">
        <f>IF(DV11=0,"-",(DV11-EI28))</f>
        <v>-</v>
      </c>
      <c r="EI28" s="29" t="e">
        <f>DV11*DV26%</f>
        <v>#VALUE!</v>
      </c>
    </row>
    <row r="29" spans="2:144" ht="14.45" customHeight="1" x14ac:dyDescent="0.2">
      <c r="C29" s="240"/>
      <c r="D29" s="221" t="s">
        <v>98</v>
      </c>
      <c r="E29" s="221"/>
      <c r="F29" s="221"/>
      <c r="G29" s="221"/>
      <c r="H29" s="221"/>
      <c r="I29" s="221"/>
      <c r="J29" s="460"/>
      <c r="K29" s="460"/>
      <c r="L29" s="460"/>
      <c r="M29" s="460"/>
      <c r="N29" s="460"/>
      <c r="O29" s="221"/>
      <c r="P29" s="278"/>
      <c r="AU29" s="36">
        <v>0.85</v>
      </c>
      <c r="AV29" s="34" t="s">
        <v>129</v>
      </c>
      <c r="AX29" s="38"/>
      <c r="AY29" s="38"/>
      <c r="BC29" s="50"/>
      <c r="BE29" s="36">
        <v>0.76</v>
      </c>
      <c r="BF29" s="34" t="s">
        <v>127</v>
      </c>
      <c r="BH29" s="41">
        <v>0.9</v>
      </c>
      <c r="BI29" s="37" t="s">
        <v>127</v>
      </c>
      <c r="BK29" s="52"/>
      <c r="BN29" s="50"/>
      <c r="BO29" s="59">
        <v>2</v>
      </c>
      <c r="BP29" s="34" t="s">
        <v>143</v>
      </c>
      <c r="BR29" s="65">
        <v>10</v>
      </c>
      <c r="BS29" s="37" t="s">
        <v>143</v>
      </c>
      <c r="BU29" s="52"/>
      <c r="CJ29" s="88" t="e">
        <f>CB28</f>
        <v>#VALUE!</v>
      </c>
      <c r="CM29" s="50"/>
      <c r="CN29" s="59">
        <v>31</v>
      </c>
      <c r="CO29" s="34" t="s">
        <v>140</v>
      </c>
      <c r="CQ29" s="64">
        <v>48</v>
      </c>
      <c r="CR29" s="38" t="s">
        <v>141</v>
      </c>
      <c r="CT29" s="52"/>
      <c r="CU29" s="52"/>
      <c r="CX29" s="50"/>
      <c r="CY29" s="59">
        <v>21</v>
      </c>
      <c r="CZ29" s="34" t="s">
        <v>140</v>
      </c>
      <c r="DB29" s="64">
        <v>39</v>
      </c>
      <c r="DC29" s="38" t="s">
        <v>141</v>
      </c>
      <c r="DE29" s="52"/>
      <c r="DH29" s="59">
        <v>38</v>
      </c>
      <c r="DI29" s="34" t="s">
        <v>140</v>
      </c>
      <c r="DK29" s="70">
        <v>39</v>
      </c>
      <c r="DL29" s="37" t="s">
        <v>140</v>
      </c>
    </row>
    <row r="30" spans="2:144" ht="14.45" customHeight="1" x14ac:dyDescent="0.2">
      <c r="C30" s="240"/>
      <c r="D30" s="221" t="s">
        <v>251</v>
      </c>
      <c r="E30" s="221"/>
      <c r="F30" s="221"/>
      <c r="G30" s="221"/>
      <c r="H30" s="221"/>
      <c r="I30" s="221"/>
      <c r="J30" s="460"/>
      <c r="K30" s="460"/>
      <c r="L30" s="460"/>
      <c r="M30" s="460"/>
      <c r="N30" s="460"/>
      <c r="O30" s="221"/>
      <c r="P30" s="278"/>
      <c r="AG30" s="141" t="s">
        <v>151</v>
      </c>
      <c r="AH30" s="141"/>
      <c r="AI30" s="141"/>
      <c r="AJ30" s="83">
        <f>'Avaliação Física 2'!G94</f>
        <v>0</v>
      </c>
      <c r="AO30" s="142" t="e">
        <f>IF(AND(BF49&gt;BF47,BF47&gt;BF48),"ECTOMORFO-ENDOMORFO","")</f>
        <v>#DIV/0!</v>
      </c>
      <c r="AP30" s="142"/>
      <c r="AQ30" s="142"/>
      <c r="AR30" s="142"/>
      <c r="AU30" s="35"/>
      <c r="AV30" s="35"/>
      <c r="AX30" s="38"/>
      <c r="AY30" s="38"/>
      <c r="BC30" s="50"/>
      <c r="BE30" s="36">
        <v>0.84</v>
      </c>
      <c r="BF30" s="34" t="s">
        <v>128</v>
      </c>
      <c r="BH30" s="39">
        <v>0.97</v>
      </c>
      <c r="BI30" s="37" t="s">
        <v>128</v>
      </c>
      <c r="BK30" s="52"/>
      <c r="BN30" s="50"/>
      <c r="BO30" s="59">
        <v>7</v>
      </c>
      <c r="BP30" s="34" t="s">
        <v>142</v>
      </c>
      <c r="BR30" s="65">
        <v>13</v>
      </c>
      <c r="BS30" s="37" t="s">
        <v>142</v>
      </c>
      <c r="BU30" s="52"/>
      <c r="CA30" s="126" t="s">
        <v>198</v>
      </c>
      <c r="CB30" s="126"/>
      <c r="CC30" s="126"/>
      <c r="CD30" s="126"/>
      <c r="CF30" s="126" t="s">
        <v>150</v>
      </c>
      <c r="CG30" s="126"/>
      <c r="CJ30" s="89">
        <f>CB31</f>
        <v>-11.2</v>
      </c>
      <c r="CM30" s="50"/>
      <c r="CN30" s="60">
        <v>36</v>
      </c>
      <c r="CO30" s="35" t="s">
        <v>141</v>
      </c>
      <c r="CQ30" s="38"/>
      <c r="CR30" s="38"/>
      <c r="CT30" s="52"/>
      <c r="CU30" s="52"/>
      <c r="CX30" s="50"/>
      <c r="CY30" s="60">
        <v>30</v>
      </c>
      <c r="CZ30" s="35" t="s">
        <v>141</v>
      </c>
      <c r="DB30" s="38"/>
      <c r="DC30" s="38"/>
      <c r="DE30" s="52"/>
      <c r="DH30" s="60">
        <v>45</v>
      </c>
      <c r="DI30" s="35" t="s">
        <v>141</v>
      </c>
      <c r="DK30" s="64">
        <v>49</v>
      </c>
      <c r="DL30" s="38" t="s">
        <v>141</v>
      </c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</row>
    <row r="31" spans="2:144" ht="14.45" customHeight="1" x14ac:dyDescent="0.2">
      <c r="C31" s="240"/>
      <c r="D31" s="221" t="s">
        <v>99</v>
      </c>
      <c r="E31" s="221"/>
      <c r="F31" s="221"/>
      <c r="G31" s="221"/>
      <c r="H31" s="221"/>
      <c r="I31" s="221"/>
      <c r="J31" s="460"/>
      <c r="K31" s="460"/>
      <c r="L31" s="460"/>
      <c r="M31" s="460"/>
      <c r="N31" s="460"/>
      <c r="O31" s="221"/>
      <c r="P31" s="278"/>
      <c r="AH31" s="141" t="s">
        <v>152</v>
      </c>
      <c r="AI31" s="141"/>
      <c r="AJ31" s="31">
        <f>'Avaliação Física 2'!K94</f>
        <v>0</v>
      </c>
      <c r="AO31" s="142" t="e">
        <f>IF(AND(BF47&gt;BF49,BF49&gt;BF48),"ENDOMORFO-ECTOMORFO","")</f>
        <v>#DIV/0!</v>
      </c>
      <c r="AP31" s="142"/>
      <c r="AQ31" s="142"/>
      <c r="AR31" s="142"/>
      <c r="AU31" s="124" t="s">
        <v>130</v>
      </c>
      <c r="AV31" s="124"/>
      <c r="AX31" s="125" t="s">
        <v>65</v>
      </c>
      <c r="AY31" s="125"/>
      <c r="BC31" s="50"/>
      <c r="BE31" s="36">
        <v>0.91</v>
      </c>
      <c r="BF31" s="34" t="s">
        <v>129</v>
      </c>
      <c r="BH31" s="39">
        <v>1.03</v>
      </c>
      <c r="BI31" s="37" t="s">
        <v>129</v>
      </c>
      <c r="BK31" s="52"/>
      <c r="BN31" s="50"/>
      <c r="BO31" s="59">
        <v>11</v>
      </c>
      <c r="BP31" s="34" t="s">
        <v>140</v>
      </c>
      <c r="BR31" s="65">
        <v>17</v>
      </c>
      <c r="BS31" s="37" t="s">
        <v>140</v>
      </c>
      <c r="BU31" s="52"/>
      <c r="CB31" s="157">
        <f>('Avaliação Física 2'!D290-504)/45</f>
        <v>-11.2</v>
      </c>
      <c r="CC31" s="158"/>
      <c r="CD31" s="159"/>
      <c r="CF31" s="153" t="e">
        <f>IF(CB28="","-",DN12)</f>
        <v>#VALUE!</v>
      </c>
      <c r="CG31" s="154"/>
      <c r="CJ31" s="90" t="e">
        <f>CF31</f>
        <v>#VALUE!</v>
      </c>
      <c r="CM31" s="50"/>
      <c r="CN31" s="146" t="s">
        <v>146</v>
      </c>
      <c r="CO31" s="147"/>
      <c r="CQ31" s="125" t="s">
        <v>64</v>
      </c>
      <c r="CR31" s="125"/>
      <c r="CT31" s="52"/>
      <c r="CU31" s="52"/>
      <c r="CX31" s="50"/>
      <c r="CY31" s="146" t="s">
        <v>146</v>
      </c>
      <c r="CZ31" s="147"/>
      <c r="DB31" s="125" t="s">
        <v>64</v>
      </c>
      <c r="DC31" s="125"/>
      <c r="DE31" s="52"/>
      <c r="DH31" s="146" t="s">
        <v>194</v>
      </c>
      <c r="DI31" s="147"/>
      <c r="DK31" s="149" t="s">
        <v>194</v>
      </c>
      <c r="DL31" s="150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I31" s="426" t="s">
        <v>118</v>
      </c>
      <c r="EJ31" s="426"/>
      <c r="EK31" s="8">
        <f>DV11</f>
        <v>0</v>
      </c>
    </row>
    <row r="32" spans="2:144" ht="14.45" customHeight="1" x14ac:dyDescent="0.2">
      <c r="C32" s="240"/>
      <c r="D32" s="221" t="s">
        <v>100</v>
      </c>
      <c r="E32" s="221"/>
      <c r="F32" s="221"/>
      <c r="G32" s="221"/>
      <c r="H32" s="221"/>
      <c r="I32" s="221"/>
      <c r="J32" s="460"/>
      <c r="K32" s="460"/>
      <c r="L32" s="460"/>
      <c r="M32" s="460"/>
      <c r="N32" s="460"/>
      <c r="O32" s="221"/>
      <c r="P32" s="278"/>
      <c r="AH32" s="141" t="s">
        <v>153</v>
      </c>
      <c r="AI32" s="141"/>
      <c r="AJ32" s="84">
        <f>'Avaliação Física 2'!G95</f>
        <v>0</v>
      </c>
      <c r="AN32" s="314" t="s">
        <v>188</v>
      </c>
      <c r="AO32" s="142" t="e">
        <f>IF(AND(BF47=BF48,BF49&gt;BF48),"ECTOMORFO","")</f>
        <v>#DIV/0!</v>
      </c>
      <c r="AP32" s="142"/>
      <c r="AQ32" s="142"/>
      <c r="AR32" s="142"/>
      <c r="AU32" s="36">
        <v>0.01</v>
      </c>
      <c r="AV32" s="34" t="s">
        <v>126</v>
      </c>
      <c r="AX32" s="39">
        <v>0.01</v>
      </c>
      <c r="AY32" s="37" t="s">
        <v>126</v>
      </c>
      <c r="BC32" s="50"/>
      <c r="BH32" s="38"/>
      <c r="BI32" s="38"/>
      <c r="BK32" s="52"/>
      <c r="BN32" s="50"/>
      <c r="BO32" s="60">
        <v>21</v>
      </c>
      <c r="BP32" s="35" t="s">
        <v>141</v>
      </c>
      <c r="BR32" s="64">
        <v>22</v>
      </c>
      <c r="BS32" s="38" t="s">
        <v>141</v>
      </c>
      <c r="BU32" s="52"/>
      <c r="CM32" s="50"/>
      <c r="CN32" s="59">
        <v>0</v>
      </c>
      <c r="CO32" s="34" t="s">
        <v>144</v>
      </c>
      <c r="CQ32" s="65">
        <v>0</v>
      </c>
      <c r="CR32" s="37" t="s">
        <v>144</v>
      </c>
      <c r="CT32" s="52"/>
      <c r="CU32" s="52"/>
      <c r="CX32" s="50"/>
      <c r="CY32" s="59">
        <v>0</v>
      </c>
      <c r="CZ32" s="34" t="s">
        <v>144</v>
      </c>
      <c r="DB32" s="65">
        <v>0</v>
      </c>
      <c r="DC32" s="37" t="s">
        <v>144</v>
      </c>
      <c r="DE32" s="52"/>
      <c r="DH32" s="59">
        <v>0</v>
      </c>
      <c r="DI32" s="34" t="s">
        <v>196</v>
      </c>
      <c r="DK32" s="65">
        <v>0</v>
      </c>
      <c r="DL32" s="37" t="s">
        <v>196</v>
      </c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I32" s="426" t="s">
        <v>122</v>
      </c>
      <c r="EJ32" s="483"/>
      <c r="EK32" s="9" t="str">
        <f>DV28</f>
        <v>-</v>
      </c>
    </row>
    <row r="33" spans="3:141" ht="14.45" customHeight="1" x14ac:dyDescent="0.2">
      <c r="C33" s="240"/>
      <c r="D33" s="221" t="s">
        <v>101</v>
      </c>
      <c r="E33" s="221"/>
      <c r="F33" s="221"/>
      <c r="G33" s="221"/>
      <c r="H33" s="221"/>
      <c r="I33" s="221"/>
      <c r="J33" s="460"/>
      <c r="K33" s="460"/>
      <c r="L33" s="460"/>
      <c r="M33" s="460"/>
      <c r="N33" s="460"/>
      <c r="O33" s="221"/>
      <c r="P33" s="278"/>
      <c r="AO33" s="142" t="e">
        <f>IF(AND(BF48&gt;BF49,BF49&gt;BF47),"MESOMORFO-ECTOMÓRFICO","")</f>
        <v>#DIV/0!</v>
      </c>
      <c r="AP33" s="142"/>
      <c r="AQ33" s="142"/>
      <c r="AR33" s="142"/>
      <c r="AU33" s="36">
        <v>0.73</v>
      </c>
      <c r="AV33" s="34" t="s">
        <v>127</v>
      </c>
      <c r="AX33" s="39">
        <v>0.84</v>
      </c>
      <c r="AY33" s="37" t="s">
        <v>127</v>
      </c>
      <c r="BC33" s="50"/>
      <c r="BH33" s="125" t="s">
        <v>66</v>
      </c>
      <c r="BI33" s="125"/>
      <c r="BK33" s="52"/>
      <c r="BN33" s="50"/>
      <c r="BR33" s="125" t="s">
        <v>131</v>
      </c>
      <c r="BS33" s="125"/>
      <c r="BU33" s="52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M33" s="50"/>
      <c r="CN33" s="59">
        <v>15</v>
      </c>
      <c r="CO33" s="34" t="s">
        <v>143</v>
      </c>
      <c r="CQ33" s="65">
        <v>29</v>
      </c>
      <c r="CR33" s="37" t="s">
        <v>143</v>
      </c>
      <c r="CT33" s="52"/>
      <c r="CU33" s="52"/>
      <c r="CX33" s="50"/>
      <c r="CY33" s="59">
        <v>8</v>
      </c>
      <c r="CZ33" s="34" t="s">
        <v>143</v>
      </c>
      <c r="DB33" s="65">
        <v>17</v>
      </c>
      <c r="DC33" s="37" t="s">
        <v>143</v>
      </c>
      <c r="DE33" s="52"/>
      <c r="DH33" s="59">
        <v>17</v>
      </c>
      <c r="DI33" s="34" t="s">
        <v>144</v>
      </c>
      <c r="DK33" s="65">
        <v>20</v>
      </c>
      <c r="DL33" s="37" t="s">
        <v>144</v>
      </c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I33" s="310"/>
      <c r="EJ33" s="315"/>
      <c r="EK33" s="9"/>
    </row>
    <row r="34" spans="3:141" ht="14.45" customHeight="1" x14ac:dyDescent="0.2">
      <c r="C34" s="240"/>
      <c r="D34" s="221" t="s">
        <v>102</v>
      </c>
      <c r="E34" s="221"/>
      <c r="F34" s="221"/>
      <c r="G34" s="221"/>
      <c r="H34" s="221"/>
      <c r="I34" s="221"/>
      <c r="J34" s="460"/>
      <c r="K34" s="460"/>
      <c r="L34" s="460"/>
      <c r="M34" s="460"/>
      <c r="N34" s="460"/>
      <c r="O34" s="221"/>
      <c r="P34" s="278"/>
      <c r="Y34" s="163" t="s">
        <v>267</v>
      </c>
      <c r="Z34" s="3"/>
      <c r="AA34" s="3"/>
      <c r="AB34" s="164"/>
      <c r="AO34" s="142" t="e">
        <f>IF(AND(BF49&gt;BF48,BF48&gt;BF47),"ECTOMORFO-MESOMORFO","")</f>
        <v>#DIV/0!</v>
      </c>
      <c r="AP34" s="142"/>
      <c r="AQ34" s="142"/>
      <c r="AR34" s="142"/>
      <c r="AU34" s="36">
        <v>0.8</v>
      </c>
      <c r="AV34" s="34" t="s">
        <v>128</v>
      </c>
      <c r="AX34" s="39">
        <v>0.92</v>
      </c>
      <c r="AY34" s="37" t="s">
        <v>128</v>
      </c>
      <c r="BC34" s="50"/>
      <c r="BH34" s="41">
        <v>0.01</v>
      </c>
      <c r="BI34" s="37" t="s">
        <v>126</v>
      </c>
      <c r="BK34" s="52"/>
      <c r="BN34" s="50"/>
      <c r="BO34" s="124" t="s">
        <v>66</v>
      </c>
      <c r="BP34" s="124"/>
      <c r="BR34" s="65">
        <v>1</v>
      </c>
      <c r="BS34" s="37" t="s">
        <v>144</v>
      </c>
      <c r="BU34" s="52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M34" s="50"/>
      <c r="CN34" s="69">
        <v>20</v>
      </c>
      <c r="CO34" s="35" t="s">
        <v>142</v>
      </c>
      <c r="CQ34" s="70">
        <v>33</v>
      </c>
      <c r="CR34" s="38" t="s">
        <v>142</v>
      </c>
      <c r="CT34" s="52"/>
      <c r="CU34" s="52"/>
      <c r="CX34" s="50"/>
      <c r="CY34" s="69">
        <v>13</v>
      </c>
      <c r="CZ34" s="35" t="s">
        <v>142</v>
      </c>
      <c r="DB34" s="70">
        <v>22</v>
      </c>
      <c r="DC34" s="38" t="s">
        <v>142</v>
      </c>
      <c r="DE34" s="52"/>
      <c r="DH34" s="69">
        <v>24</v>
      </c>
      <c r="DI34" s="34" t="s">
        <v>143</v>
      </c>
      <c r="DK34" s="65">
        <v>27</v>
      </c>
      <c r="DL34" s="37" t="s">
        <v>143</v>
      </c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I34" s="310"/>
      <c r="EJ34" s="315"/>
      <c r="EK34" s="9"/>
    </row>
    <row r="35" spans="3:141" ht="14.45" customHeight="1" x14ac:dyDescent="0.2">
      <c r="C35" s="240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78"/>
      <c r="Y35" s="2">
        <f>F78+J79+N77</f>
        <v>0</v>
      </c>
      <c r="Z35" s="106"/>
      <c r="AA35" s="106"/>
      <c r="AB35" s="165"/>
      <c r="AO35" s="142" t="e">
        <f>IF(AND(BF48&gt;BF47,BF48=BF49),"MESOECTOMORFO","")</f>
        <v>#DIV/0!</v>
      </c>
      <c r="AP35" s="142"/>
      <c r="AQ35" s="142"/>
      <c r="AR35" s="142"/>
      <c r="AU35" s="36">
        <v>0.88</v>
      </c>
      <c r="AV35" s="34" t="s">
        <v>129</v>
      </c>
      <c r="AX35" s="39">
        <v>0.96</v>
      </c>
      <c r="AY35" s="37" t="s">
        <v>129</v>
      </c>
      <c r="BC35" s="50"/>
      <c r="BH35" s="41"/>
      <c r="BI35" s="37"/>
      <c r="BK35" s="52"/>
      <c r="BN35" s="50"/>
      <c r="BO35" s="66"/>
      <c r="BP35" s="112"/>
      <c r="BR35" s="65"/>
      <c r="BS35" s="37"/>
      <c r="BU35" s="52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M35" s="50"/>
      <c r="CN35" s="69">
        <v>24</v>
      </c>
      <c r="CO35" s="35" t="s">
        <v>140</v>
      </c>
      <c r="CQ35" s="70">
        <v>37</v>
      </c>
      <c r="CR35" s="38" t="s">
        <v>140</v>
      </c>
      <c r="CT35" s="52"/>
      <c r="CU35" s="52"/>
      <c r="CX35" s="50"/>
      <c r="CY35" s="69">
        <v>20</v>
      </c>
      <c r="CZ35" s="35" t="s">
        <v>140</v>
      </c>
      <c r="DB35" s="70">
        <v>19</v>
      </c>
      <c r="DC35" s="38" t="s">
        <v>140</v>
      </c>
      <c r="DE35" s="52"/>
      <c r="DH35" s="69">
        <v>31</v>
      </c>
      <c r="DI35" s="34" t="s">
        <v>140</v>
      </c>
      <c r="DK35" s="65">
        <v>36</v>
      </c>
      <c r="DL35" s="37" t="s">
        <v>140</v>
      </c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I35" s="310"/>
      <c r="EJ35" s="315"/>
      <c r="EK35" s="9"/>
    </row>
    <row r="36" spans="3:141" ht="14.45" customHeight="1" x14ac:dyDescent="0.2">
      <c r="C36" s="240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78"/>
      <c r="Y36" s="2"/>
      <c r="Z36" s="106"/>
      <c r="AA36" s="106"/>
      <c r="AB36" s="165"/>
      <c r="AO36" s="142" t="e">
        <f>IF(AND(BF48&gt;BF47,BF47&gt;BF49),"MESOMORFO-ENDOMÓRFICO","")</f>
        <v>#DIV/0!</v>
      </c>
      <c r="AP36" s="142"/>
      <c r="AQ36" s="142"/>
      <c r="AR36" s="142"/>
      <c r="AU36" s="35"/>
      <c r="AV36" s="35"/>
      <c r="AX36" s="38"/>
      <c r="AY36" s="38"/>
      <c r="BC36" s="50"/>
      <c r="BH36" s="41"/>
      <c r="BI36" s="37"/>
      <c r="BK36" s="52"/>
      <c r="BN36" s="50"/>
      <c r="BO36" s="66"/>
      <c r="BP36" s="112"/>
      <c r="BR36" s="65"/>
      <c r="BS36" s="37"/>
      <c r="BU36" s="52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M36" s="50"/>
      <c r="CN36" s="60">
        <v>29</v>
      </c>
      <c r="CO36" s="35" t="s">
        <v>141</v>
      </c>
      <c r="CQ36" s="64">
        <v>43</v>
      </c>
      <c r="CR36" s="38" t="s">
        <v>141</v>
      </c>
      <c r="CT36" s="52"/>
      <c r="CU36" s="52"/>
      <c r="CX36" s="50"/>
      <c r="CY36" s="60">
        <v>27</v>
      </c>
      <c r="CZ36" s="35" t="s">
        <v>141</v>
      </c>
      <c r="DB36" s="64">
        <v>36</v>
      </c>
      <c r="DC36" s="38" t="s">
        <v>141</v>
      </c>
      <c r="DE36" s="52"/>
      <c r="DH36" s="60">
        <v>42</v>
      </c>
      <c r="DI36" s="35" t="s">
        <v>141</v>
      </c>
      <c r="DK36" s="64">
        <v>45</v>
      </c>
      <c r="DL36" s="38" t="s">
        <v>141</v>
      </c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I36" s="426" t="s">
        <v>121</v>
      </c>
      <c r="EJ36" s="483"/>
      <c r="EK36" s="9" t="str">
        <f>DV27</f>
        <v>-</v>
      </c>
    </row>
    <row r="37" spans="3:141" ht="15" x14ac:dyDescent="0.2">
      <c r="C37" s="240"/>
      <c r="D37" s="221" t="s">
        <v>245</v>
      </c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78"/>
      <c r="Y37" s="2" t="s">
        <v>268</v>
      </c>
      <c r="Z37" s="106"/>
      <c r="AA37" s="106"/>
      <c r="AB37" s="165"/>
      <c r="AN37" s="314" t="s">
        <v>189</v>
      </c>
      <c r="AO37" s="142" t="e">
        <f>IF(AND(BF48&gt;BF47,BF47=BF49),"MESOMORFO","")</f>
        <v>#DIV/0!</v>
      </c>
      <c r="AP37" s="142"/>
      <c r="AQ37" s="142"/>
      <c r="AR37" s="142"/>
      <c r="AU37" s="124" t="s">
        <v>131</v>
      </c>
      <c r="AV37" s="124"/>
      <c r="AX37" s="125" t="s">
        <v>130</v>
      </c>
      <c r="AY37" s="125"/>
      <c r="BC37" s="50"/>
      <c r="BH37" s="41"/>
      <c r="BI37" s="37"/>
      <c r="BK37" s="52"/>
      <c r="BN37" s="50"/>
      <c r="BO37" s="66"/>
      <c r="BP37" s="112"/>
      <c r="BR37" s="65"/>
      <c r="BS37" s="37"/>
      <c r="BU37" s="52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M37" s="50"/>
      <c r="CN37" s="124" t="s">
        <v>130</v>
      </c>
      <c r="CO37" s="124"/>
      <c r="CQ37" s="125" t="s">
        <v>65</v>
      </c>
      <c r="CR37" s="125"/>
      <c r="CT37" s="52"/>
      <c r="CU37" s="52"/>
      <c r="CX37" s="50"/>
      <c r="CY37" s="124" t="s">
        <v>130</v>
      </c>
      <c r="CZ37" s="124"/>
      <c r="DB37" s="125" t="s">
        <v>65</v>
      </c>
      <c r="DC37" s="125"/>
      <c r="DE37" s="52"/>
      <c r="DH37" s="124" t="s">
        <v>131</v>
      </c>
      <c r="DI37" s="124"/>
      <c r="DK37" s="125" t="s">
        <v>131</v>
      </c>
      <c r="DL37" s="125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I37" s="310"/>
      <c r="EJ37" s="315"/>
      <c r="EK37" s="9"/>
    </row>
    <row r="38" spans="3:141" ht="15" x14ac:dyDescent="0.2">
      <c r="C38" s="240"/>
      <c r="D38" s="377" t="s">
        <v>255</v>
      </c>
      <c r="E38" s="377"/>
      <c r="F38" s="460"/>
      <c r="G38" s="460"/>
      <c r="H38" s="460"/>
      <c r="I38" s="460"/>
      <c r="J38" s="460"/>
      <c r="K38" s="460"/>
      <c r="L38" s="460"/>
      <c r="M38" s="460"/>
      <c r="N38" s="460"/>
      <c r="O38" s="221"/>
      <c r="P38" s="278"/>
      <c r="Y38" s="166">
        <f>N78+J79+F77</f>
        <v>0</v>
      </c>
      <c r="Z38" s="1"/>
      <c r="AA38" s="1"/>
      <c r="AB38" s="168"/>
      <c r="AO38" s="142" t="e">
        <f>IF(AND(BF47=BF48,BF48&gt;BF49),"MESOENDOMORFO","")</f>
        <v>#DIV/0!</v>
      </c>
      <c r="AP38" s="142"/>
      <c r="AQ38" s="142"/>
      <c r="AR38" s="142"/>
      <c r="AU38" s="36">
        <v>0.01</v>
      </c>
      <c r="AV38" s="34" t="s">
        <v>126</v>
      </c>
      <c r="AX38" s="39">
        <v>0.01</v>
      </c>
      <c r="AY38" s="37" t="s">
        <v>126</v>
      </c>
      <c r="BC38" s="50"/>
      <c r="BH38" s="39">
        <v>0.91</v>
      </c>
      <c r="BI38" s="37" t="s">
        <v>127</v>
      </c>
      <c r="BK38" s="52"/>
      <c r="BN38" s="50"/>
      <c r="BO38" s="60">
        <v>1</v>
      </c>
      <c r="BP38" s="34" t="s">
        <v>144</v>
      </c>
      <c r="BR38" s="65">
        <v>7</v>
      </c>
      <c r="BS38" s="37" t="s">
        <v>143</v>
      </c>
      <c r="BU38" s="52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M38" s="50"/>
      <c r="CN38" s="59">
        <v>0</v>
      </c>
      <c r="CO38" s="34" t="s">
        <v>144</v>
      </c>
      <c r="CQ38" s="65">
        <v>0</v>
      </c>
      <c r="CR38" s="37" t="s">
        <v>144</v>
      </c>
      <c r="CT38" s="52"/>
      <c r="CU38" s="52"/>
      <c r="CX38" s="50"/>
      <c r="CY38" s="59">
        <v>0</v>
      </c>
      <c r="CZ38" s="34" t="s">
        <v>144</v>
      </c>
      <c r="DB38" s="65">
        <v>0</v>
      </c>
      <c r="DC38" s="37" t="s">
        <v>144</v>
      </c>
      <c r="DE38" s="52"/>
      <c r="DH38" s="59">
        <v>0</v>
      </c>
      <c r="DI38" s="34" t="s">
        <v>196</v>
      </c>
      <c r="DK38" s="65">
        <v>0</v>
      </c>
      <c r="DL38" s="37" t="s">
        <v>196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I38" s="310"/>
      <c r="EJ38" s="315"/>
      <c r="EK38" s="9"/>
    </row>
    <row r="39" spans="3:141" ht="15" x14ac:dyDescent="0.2">
      <c r="C39" s="240"/>
      <c r="D39" s="377" t="s">
        <v>13</v>
      </c>
      <c r="E39" s="377"/>
      <c r="F39" s="460"/>
      <c r="G39" s="460"/>
      <c r="H39" s="460"/>
      <c r="I39" s="460"/>
      <c r="J39" s="460"/>
      <c r="K39" s="460"/>
      <c r="L39" s="460"/>
      <c r="M39" s="460"/>
      <c r="N39" s="460"/>
      <c r="O39" s="221"/>
      <c r="P39" s="278"/>
      <c r="Y39" s="106"/>
      <c r="Z39" s="106"/>
      <c r="AA39" s="106"/>
      <c r="AB39" s="106"/>
      <c r="AO39" s="143" t="e">
        <f>IF(AND(BF47&gt;BF48,BF48&gt;BF49),"ENDOMORFO-MESOMORFO","")</f>
        <v>#DIV/0!</v>
      </c>
      <c r="AP39" s="143"/>
      <c r="AQ39" s="143"/>
      <c r="AR39" s="143"/>
      <c r="AU39" s="36">
        <v>0.74</v>
      </c>
      <c r="AV39" s="34" t="s">
        <v>127</v>
      </c>
      <c r="AX39" s="39">
        <v>0.88</v>
      </c>
      <c r="AY39" s="37" t="s">
        <v>127</v>
      </c>
      <c r="BC39" s="50"/>
      <c r="BH39" s="39">
        <v>0.99</v>
      </c>
      <c r="BI39" s="37" t="s">
        <v>128</v>
      </c>
      <c r="BK39" s="52"/>
      <c r="BN39" s="50"/>
      <c r="BO39" s="60">
        <v>1</v>
      </c>
      <c r="BP39" s="34" t="s">
        <v>143</v>
      </c>
      <c r="BR39" s="65">
        <v>10</v>
      </c>
      <c r="BS39" s="37" t="s">
        <v>142</v>
      </c>
      <c r="BU39" s="52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M39" s="50"/>
      <c r="CN39" s="59">
        <v>7</v>
      </c>
      <c r="CO39" s="34" t="s">
        <v>143</v>
      </c>
      <c r="CQ39" s="65">
        <v>22</v>
      </c>
      <c r="CR39" s="37" t="s">
        <v>143</v>
      </c>
      <c r="CT39" s="52"/>
      <c r="CU39" s="52"/>
      <c r="CX39" s="50"/>
      <c r="CY39" s="59">
        <v>5</v>
      </c>
      <c r="CZ39" s="34" t="s">
        <v>143</v>
      </c>
      <c r="DB39" s="65">
        <v>12</v>
      </c>
      <c r="DC39" s="37" t="s">
        <v>143</v>
      </c>
      <c r="DE39" s="52"/>
      <c r="DH39" s="59">
        <v>15</v>
      </c>
      <c r="DI39" s="34" t="s">
        <v>144</v>
      </c>
      <c r="DK39" s="65">
        <v>18</v>
      </c>
      <c r="DL39" s="37" t="s">
        <v>144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I39" s="310"/>
      <c r="EJ39" s="315"/>
      <c r="EK39" s="9"/>
    </row>
    <row r="40" spans="3:141" ht="15" x14ac:dyDescent="0.2">
      <c r="C40" s="240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78"/>
      <c r="Y40" s="172" t="s">
        <v>270</v>
      </c>
      <c r="Z40" s="169"/>
      <c r="AA40" s="171"/>
      <c r="AB40" s="106"/>
      <c r="AO40" s="142" t="e">
        <f>IF(AND(BF47=BF49,BF47&gt;BF48),"ENDOECTOMORFO","")</f>
        <v>#DIV/0!</v>
      </c>
      <c r="AP40" s="142"/>
      <c r="AQ40" s="142"/>
      <c r="AR40" s="142"/>
      <c r="AU40" s="36">
        <v>0.82</v>
      </c>
      <c r="AV40" s="34" t="s">
        <v>128</v>
      </c>
      <c r="AX40" s="39">
        <v>0.96</v>
      </c>
      <c r="AY40" s="37" t="s">
        <v>128</v>
      </c>
      <c r="BC40" s="50"/>
      <c r="BH40" s="39">
        <v>1.04</v>
      </c>
      <c r="BI40" s="37" t="s">
        <v>129</v>
      </c>
      <c r="BK40" s="52"/>
      <c r="BN40" s="50"/>
      <c r="BO40" s="60">
        <v>5</v>
      </c>
      <c r="BP40" s="34" t="s">
        <v>142</v>
      </c>
      <c r="BR40" s="65">
        <v>13</v>
      </c>
      <c r="BS40" s="37" t="s">
        <v>140</v>
      </c>
      <c r="BU40" s="52"/>
      <c r="BY40" s="4"/>
      <c r="BZ40" s="148"/>
      <c r="CA40" s="148"/>
      <c r="CB40" s="68"/>
      <c r="CC40" s="68"/>
      <c r="CD40" s="115"/>
      <c r="CE40" s="115"/>
      <c r="CF40" s="115"/>
      <c r="CG40" s="115"/>
      <c r="CH40" s="115"/>
      <c r="CI40" s="115"/>
      <c r="CJ40" s="115"/>
      <c r="CK40" s="4"/>
      <c r="CM40" s="50"/>
      <c r="CN40" s="59">
        <v>15</v>
      </c>
      <c r="CO40" s="34" t="s">
        <v>142</v>
      </c>
      <c r="CQ40" s="65">
        <v>27</v>
      </c>
      <c r="CR40" s="37" t="s">
        <v>142</v>
      </c>
      <c r="CT40" s="52"/>
      <c r="CU40" s="52"/>
      <c r="CX40" s="50"/>
      <c r="CY40" s="59">
        <v>11</v>
      </c>
      <c r="CZ40" s="34" t="s">
        <v>142</v>
      </c>
      <c r="DB40" s="65">
        <v>17</v>
      </c>
      <c r="DC40" s="37" t="s">
        <v>142</v>
      </c>
      <c r="DE40" s="52"/>
      <c r="DH40" s="59">
        <v>21</v>
      </c>
      <c r="DI40" s="34" t="s">
        <v>143</v>
      </c>
      <c r="DK40" s="65">
        <v>25</v>
      </c>
      <c r="DL40" s="37" t="s">
        <v>143</v>
      </c>
      <c r="EI40" s="426" t="s">
        <v>120</v>
      </c>
      <c r="EJ40" s="483"/>
      <c r="EK40" s="28" t="str">
        <f>DV26</f>
        <v>-</v>
      </c>
    </row>
    <row r="41" spans="3:141" ht="15" x14ac:dyDescent="0.2">
      <c r="C41" s="240"/>
      <c r="D41" s="221" t="s">
        <v>246</v>
      </c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78"/>
      <c r="Y41" s="2" t="e">
        <f>IF(EJ4=0,SUM(1.1665-((LOG10(Y38))*0.07063)),SUM(1.17136-((LOG10(Y35))*0.06706)))</f>
        <v>#NUM!</v>
      </c>
      <c r="Z41" s="106"/>
      <c r="AA41" s="165"/>
      <c r="AN41" s="314" t="s">
        <v>190</v>
      </c>
      <c r="AO41" s="142" t="e">
        <f>IF(AND(BF47&gt;BF48,BF48=BF49),"ENDOMORFO","")</f>
        <v>#DIV/0!</v>
      </c>
      <c r="AP41" s="142"/>
      <c r="AQ41" s="142"/>
      <c r="AR41" s="142"/>
      <c r="AU41" s="36">
        <v>0.89</v>
      </c>
      <c r="AV41" s="34" t="s">
        <v>129</v>
      </c>
      <c r="AX41" s="41">
        <v>1.01</v>
      </c>
      <c r="AY41" s="37" t="s">
        <v>129</v>
      </c>
      <c r="BC41" s="50"/>
      <c r="BK41" s="52"/>
      <c r="BN41" s="50"/>
      <c r="BO41" s="60">
        <v>12</v>
      </c>
      <c r="BP41" s="34" t="s">
        <v>140</v>
      </c>
      <c r="BR41" s="64">
        <v>21</v>
      </c>
      <c r="BS41" s="38" t="s">
        <v>141</v>
      </c>
      <c r="BU41" s="52"/>
      <c r="BY41" s="4"/>
      <c r="BZ41" s="148"/>
      <c r="CA41" s="148"/>
      <c r="CB41" s="68"/>
      <c r="CC41" s="4"/>
      <c r="CD41" s="115"/>
      <c r="CE41" s="115"/>
      <c r="CF41" s="115"/>
      <c r="CG41" s="115"/>
      <c r="CH41" s="115"/>
      <c r="CI41" s="115"/>
      <c r="CJ41" s="115"/>
      <c r="CK41" s="4"/>
      <c r="CM41" s="50"/>
      <c r="CN41" s="59">
        <v>20</v>
      </c>
      <c r="CO41" s="34" t="s">
        <v>140</v>
      </c>
      <c r="CQ41" s="65">
        <v>31</v>
      </c>
      <c r="CR41" s="37" t="s">
        <v>140</v>
      </c>
      <c r="CT41" s="52"/>
      <c r="CU41" s="52"/>
      <c r="CX41" s="50"/>
      <c r="CY41" s="59">
        <v>15</v>
      </c>
      <c r="CZ41" s="34" t="s">
        <v>140</v>
      </c>
      <c r="DB41" s="65">
        <v>22</v>
      </c>
      <c r="DC41" s="37" t="s">
        <v>140</v>
      </c>
      <c r="DE41" s="52"/>
      <c r="DH41" s="59">
        <v>28</v>
      </c>
      <c r="DI41" s="34" t="s">
        <v>140</v>
      </c>
      <c r="DK41" s="65">
        <v>34</v>
      </c>
      <c r="DL41" s="37" t="s">
        <v>140</v>
      </c>
    </row>
    <row r="42" spans="3:141" ht="15" x14ac:dyDescent="0.2">
      <c r="C42" s="240"/>
      <c r="D42" s="377" t="s">
        <v>255</v>
      </c>
      <c r="E42" s="377"/>
      <c r="F42" s="460"/>
      <c r="G42" s="460"/>
      <c r="H42" s="460"/>
      <c r="I42" s="460"/>
      <c r="J42" s="460"/>
      <c r="K42" s="460"/>
      <c r="L42" s="460"/>
      <c r="M42" s="460"/>
      <c r="N42" s="460"/>
      <c r="O42" s="221"/>
      <c r="P42" s="278"/>
      <c r="Y42" s="173" t="s">
        <v>269</v>
      </c>
      <c r="Z42" s="170"/>
      <c r="AA42" s="165"/>
      <c r="AO42" s="143" t="e">
        <f>IF(AND(BF47=BF48,BF48=BF49),"CENTRAL","")</f>
        <v>#DIV/0!</v>
      </c>
      <c r="AP42" s="143"/>
      <c r="AQ42" s="143"/>
      <c r="AR42" s="143"/>
      <c r="AU42" s="35"/>
      <c r="AV42" s="35"/>
      <c r="AX42" s="38"/>
      <c r="AY42" s="38"/>
      <c r="BC42" s="55"/>
      <c r="BD42" s="56"/>
      <c r="BE42" s="56"/>
      <c r="BF42" s="56"/>
      <c r="BG42" s="56"/>
      <c r="BH42" s="56"/>
      <c r="BI42" s="56"/>
      <c r="BJ42" s="56"/>
      <c r="BK42" s="57"/>
      <c r="BN42" s="55"/>
      <c r="BO42" s="61">
        <v>17</v>
      </c>
      <c r="BP42" s="35" t="s">
        <v>141</v>
      </c>
      <c r="BQ42" s="56"/>
      <c r="BR42" s="62"/>
      <c r="BS42" s="62"/>
      <c r="BT42" s="56"/>
      <c r="BU42" s="57"/>
      <c r="BY42" s="4"/>
      <c r="BZ42" s="148"/>
      <c r="CA42" s="148"/>
      <c r="CB42" s="68"/>
      <c r="CC42" s="4"/>
      <c r="CD42" s="115"/>
      <c r="CE42" s="115"/>
      <c r="CF42" s="115"/>
      <c r="CG42" s="115"/>
      <c r="CH42" s="115"/>
      <c r="CI42" s="115"/>
      <c r="CJ42" s="115"/>
      <c r="CK42" s="4"/>
      <c r="CM42" s="50"/>
      <c r="CN42" s="60">
        <v>25</v>
      </c>
      <c r="CO42" s="35" t="s">
        <v>141</v>
      </c>
      <c r="CQ42" s="64">
        <v>36</v>
      </c>
      <c r="CR42" s="38" t="s">
        <v>141</v>
      </c>
      <c r="CT42" s="52"/>
      <c r="CU42" s="52"/>
      <c r="CX42" s="50"/>
      <c r="CY42" s="60">
        <v>24</v>
      </c>
      <c r="CZ42" s="35" t="s">
        <v>141</v>
      </c>
      <c r="DB42" s="64">
        <v>30</v>
      </c>
      <c r="DC42" s="38" t="s">
        <v>141</v>
      </c>
      <c r="DE42" s="52"/>
      <c r="DH42" s="60">
        <v>38</v>
      </c>
      <c r="DI42" s="35" t="s">
        <v>141</v>
      </c>
      <c r="DK42" s="64">
        <v>43</v>
      </c>
      <c r="DL42" s="38" t="s">
        <v>141</v>
      </c>
    </row>
    <row r="43" spans="3:141" ht="15" x14ac:dyDescent="0.2">
      <c r="C43" s="240"/>
      <c r="D43" s="377" t="s">
        <v>14</v>
      </c>
      <c r="E43" s="377"/>
      <c r="F43" s="460"/>
      <c r="G43" s="460"/>
      <c r="H43" s="460"/>
      <c r="I43" s="460"/>
      <c r="J43" s="460"/>
      <c r="K43" s="460"/>
      <c r="L43" s="460"/>
      <c r="M43" s="460"/>
      <c r="N43" s="460"/>
      <c r="O43" s="221"/>
      <c r="P43" s="278"/>
      <c r="Y43" s="174" t="e">
        <f>((4.95/Y41)-4.5)*100</f>
        <v>#NUM!</v>
      </c>
      <c r="Z43" s="1"/>
      <c r="AA43" s="168"/>
      <c r="AU43" s="124" t="s">
        <v>66</v>
      </c>
      <c r="AV43" s="124"/>
      <c r="AX43" s="125" t="s">
        <v>131</v>
      </c>
      <c r="AY43" s="125"/>
      <c r="BR43" s="125" t="s">
        <v>66</v>
      </c>
      <c r="BS43" s="125"/>
      <c r="BY43" s="4"/>
      <c r="BZ43" s="115"/>
      <c r="CA43" s="115"/>
      <c r="CB43" s="68"/>
      <c r="CC43" s="4"/>
      <c r="CD43" s="115"/>
      <c r="CE43" s="115"/>
      <c r="CF43" s="115"/>
      <c r="CG43" s="115"/>
      <c r="CH43" s="115"/>
      <c r="CI43" s="115"/>
      <c r="CJ43" s="115"/>
      <c r="CK43" s="4"/>
      <c r="CM43" s="50"/>
      <c r="CN43" s="124" t="s">
        <v>131</v>
      </c>
      <c r="CO43" s="124"/>
      <c r="CQ43" s="125" t="s">
        <v>130</v>
      </c>
      <c r="CR43" s="125"/>
      <c r="CT43" s="52"/>
      <c r="CU43" s="52"/>
      <c r="CX43" s="50"/>
      <c r="CY43" s="124" t="s">
        <v>131</v>
      </c>
      <c r="CZ43" s="124"/>
      <c r="DB43" s="125" t="s">
        <v>130</v>
      </c>
      <c r="DC43" s="125"/>
      <c r="DE43" s="52"/>
      <c r="DH43" s="124" t="s">
        <v>66</v>
      </c>
      <c r="DI43" s="124"/>
      <c r="DK43" s="125" t="s">
        <v>66</v>
      </c>
      <c r="DL43" s="125"/>
      <c r="EI43" s="426"/>
      <c r="EJ43" s="483"/>
      <c r="EK43" s="9"/>
    </row>
    <row r="44" spans="3:141" ht="15" x14ac:dyDescent="0.2">
      <c r="C44" s="240"/>
      <c r="D44" s="377" t="s">
        <v>13</v>
      </c>
      <c r="E44" s="377"/>
      <c r="F44" s="460"/>
      <c r="G44" s="460"/>
      <c r="H44" s="460"/>
      <c r="I44" s="460"/>
      <c r="J44" s="460"/>
      <c r="K44" s="460"/>
      <c r="L44" s="460"/>
      <c r="M44" s="460"/>
      <c r="N44" s="460"/>
      <c r="O44" s="221"/>
      <c r="P44" s="278"/>
      <c r="AU44" s="36">
        <v>0.01</v>
      </c>
      <c r="AV44" s="34" t="s">
        <v>126</v>
      </c>
      <c r="AX44" s="39">
        <v>0.01</v>
      </c>
      <c r="AY44" s="37" t="s">
        <v>126</v>
      </c>
      <c r="BR44" s="64">
        <v>1.01</v>
      </c>
      <c r="BS44" s="37" t="s">
        <v>144</v>
      </c>
      <c r="BY44" s="4"/>
      <c r="BZ44" s="115"/>
      <c r="CA44" s="115"/>
      <c r="CB44" s="68"/>
      <c r="CC44" s="4"/>
      <c r="CD44" s="115"/>
      <c r="CE44" s="115"/>
      <c r="CF44" s="115"/>
      <c r="CG44" s="115"/>
      <c r="CH44" s="115"/>
      <c r="CI44" s="115"/>
      <c r="CJ44" s="115"/>
      <c r="CK44" s="4"/>
      <c r="CM44" s="50"/>
      <c r="CN44" s="59">
        <v>0</v>
      </c>
      <c r="CO44" s="34" t="s">
        <v>144</v>
      </c>
      <c r="CQ44" s="65">
        <v>0</v>
      </c>
      <c r="CR44" s="37" t="s">
        <v>144</v>
      </c>
      <c r="CT44" s="52"/>
      <c r="CU44" s="52"/>
      <c r="CX44" s="50"/>
      <c r="CY44" s="59">
        <v>0</v>
      </c>
      <c r="CZ44" s="34" t="s">
        <v>144</v>
      </c>
      <c r="DB44" s="65">
        <v>0</v>
      </c>
      <c r="DC44" s="37" t="s">
        <v>144</v>
      </c>
      <c r="DE44" s="52"/>
      <c r="DH44" s="59">
        <v>0</v>
      </c>
      <c r="DI44" s="34" t="s">
        <v>196</v>
      </c>
      <c r="DK44" s="65">
        <v>0</v>
      </c>
      <c r="DL44" s="37" t="s">
        <v>196</v>
      </c>
    </row>
    <row r="45" spans="3:141" ht="15" x14ac:dyDescent="0.2">
      <c r="C45" s="241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  <c r="AU45" s="36">
        <v>0.76</v>
      </c>
      <c r="AV45" s="34" t="s">
        <v>127</v>
      </c>
      <c r="AX45" s="41">
        <v>0.9</v>
      </c>
      <c r="AY45" s="37" t="s">
        <v>127</v>
      </c>
      <c r="BE45" t="s">
        <v>158</v>
      </c>
      <c r="BH45" t="e">
        <f>('Avaliação Física 2'!DV15+'Avaliação Física 2'!DV16+'Avaliação Física 2'!DV19)*170.18/BH61</f>
        <v>#DIV/0!</v>
      </c>
      <c r="BR45" s="64">
        <v>5</v>
      </c>
      <c r="BS45" s="37" t="s">
        <v>143</v>
      </c>
      <c r="CM45" s="50"/>
      <c r="CN45" s="59">
        <v>3</v>
      </c>
      <c r="CO45" s="34" t="s">
        <v>143</v>
      </c>
      <c r="CQ45" s="65">
        <v>17</v>
      </c>
      <c r="CR45" s="37" t="s">
        <v>143</v>
      </c>
      <c r="CT45" s="52"/>
      <c r="CU45" s="52"/>
      <c r="CX45" s="50"/>
      <c r="CY45" s="59">
        <v>2</v>
      </c>
      <c r="CZ45" s="34" t="s">
        <v>143</v>
      </c>
      <c r="DB45" s="65">
        <v>10</v>
      </c>
      <c r="DC45" s="37" t="s">
        <v>143</v>
      </c>
      <c r="DE45" s="52"/>
      <c r="DH45" s="59">
        <v>13</v>
      </c>
      <c r="DI45" s="34" t="s">
        <v>144</v>
      </c>
      <c r="DK45" s="65">
        <v>16</v>
      </c>
      <c r="DL45" s="37" t="s">
        <v>144</v>
      </c>
    </row>
    <row r="46" spans="3:141" ht="15" x14ac:dyDescent="0.2"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U46" s="36">
        <v>0.84</v>
      </c>
      <c r="AV46" s="34" t="s">
        <v>128</v>
      </c>
      <c r="AX46" s="39">
        <v>0.97</v>
      </c>
      <c r="AY46" s="37" t="s">
        <v>128</v>
      </c>
      <c r="BD46" s="79"/>
      <c r="BE46" s="79" t="s">
        <v>187</v>
      </c>
      <c r="BF46" s="79"/>
      <c r="BR46" s="64">
        <v>8</v>
      </c>
      <c r="BS46" s="37" t="s">
        <v>142</v>
      </c>
      <c r="CM46" s="50"/>
      <c r="CN46" s="59">
        <v>5</v>
      </c>
      <c r="CO46" s="34" t="s">
        <v>142</v>
      </c>
      <c r="CQ46" s="65">
        <v>22</v>
      </c>
      <c r="CR46" s="37" t="s">
        <v>142</v>
      </c>
      <c r="CT46" s="52"/>
      <c r="CU46" s="52"/>
      <c r="CX46" s="50"/>
      <c r="CY46" s="59">
        <v>7</v>
      </c>
      <c r="CZ46" s="34" t="s">
        <v>142</v>
      </c>
      <c r="DB46" s="65">
        <v>13</v>
      </c>
      <c r="DC46" s="37" t="s">
        <v>142</v>
      </c>
      <c r="DE46" s="52"/>
      <c r="DH46" s="59">
        <v>18</v>
      </c>
      <c r="DI46" s="34" t="s">
        <v>143</v>
      </c>
      <c r="DK46" s="65">
        <v>23</v>
      </c>
      <c r="DL46" s="37" t="s">
        <v>143</v>
      </c>
    </row>
    <row r="47" spans="3:141" ht="15" x14ac:dyDescent="0.2">
      <c r="C47" s="362" t="s">
        <v>228</v>
      </c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T47">
        <f>J72*100</f>
        <v>0</v>
      </c>
      <c r="Y47" s="273" t="s">
        <v>386</v>
      </c>
      <c r="Z47" s="27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U47" s="36">
        <v>0.91</v>
      </c>
      <c r="AV47" s="34" t="s">
        <v>129</v>
      </c>
      <c r="AX47" s="39">
        <v>1.03</v>
      </c>
      <c r="AY47" s="37" t="s">
        <v>129</v>
      </c>
      <c r="BD47" s="121" t="s">
        <v>157</v>
      </c>
      <c r="BE47" s="121"/>
      <c r="BF47" s="80" t="e">
        <f>-0.7182+0.1451*(BH45)-0.00068*(BH45)+0.0000014*(BH45)</f>
        <v>#DIV/0!</v>
      </c>
      <c r="BR47" s="64">
        <v>11</v>
      </c>
      <c r="BS47" s="37" t="s">
        <v>140</v>
      </c>
      <c r="CM47" s="50"/>
      <c r="CN47" s="59">
        <v>12</v>
      </c>
      <c r="CO47" s="34" t="s">
        <v>140</v>
      </c>
      <c r="CQ47" s="65">
        <v>26</v>
      </c>
      <c r="CR47" s="37" t="s">
        <v>140</v>
      </c>
      <c r="CT47" s="52"/>
      <c r="CU47" s="52"/>
      <c r="CX47" s="50"/>
      <c r="CY47" s="59">
        <v>11</v>
      </c>
      <c r="CZ47" s="34" t="s">
        <v>140</v>
      </c>
      <c r="DB47" s="65">
        <v>17</v>
      </c>
      <c r="DC47" s="37" t="s">
        <v>140</v>
      </c>
      <c r="DE47" s="52"/>
      <c r="DH47" s="59">
        <v>24</v>
      </c>
      <c r="DI47" s="34" t="s">
        <v>140</v>
      </c>
      <c r="DK47" s="65">
        <v>31</v>
      </c>
      <c r="DL47" s="37" t="s">
        <v>140</v>
      </c>
    </row>
    <row r="48" spans="3:141" ht="15" x14ac:dyDescent="0.2">
      <c r="C48" s="284"/>
      <c r="D48" s="285"/>
      <c r="E48" s="285"/>
      <c r="F48" s="286"/>
      <c r="G48" s="276"/>
      <c r="H48" s="276"/>
      <c r="I48" s="276"/>
      <c r="J48" s="276"/>
      <c r="K48" s="276"/>
      <c r="L48" s="287"/>
      <c r="M48" s="288"/>
      <c r="N48" s="288"/>
      <c r="O48" s="289"/>
      <c r="P48" s="290"/>
      <c r="Y48" s="267" t="e">
        <f>IF(L9="Feminino",1.0346585-0.00063129*(J78+N78+J79+N79)+0.00000187*(J78+N78+J79+N79)^2-0.000311*(N9)-0.0004889*(F72)+0.00051345*(T47),1.10726863-0.00081201*(F77+F78+J79+N79)+0.00000212*(F77+F78+J79+N79)^2*0.00041761*(N9))</f>
        <v>#VALUE!</v>
      </c>
      <c r="Z48" s="268"/>
      <c r="AB48" s="5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X48" s="38"/>
      <c r="AY48" s="38"/>
      <c r="BD48" s="121" t="s">
        <v>156</v>
      </c>
      <c r="BE48" s="121"/>
      <c r="BF48" s="81">
        <f>0.858*(AJ30)+0.601*(AJ32)+0.188*(BK48)+0.161*(BK49)-0.131*(BH61)+4.5</f>
        <v>4.5</v>
      </c>
      <c r="BJ48" s="310" t="s">
        <v>159</v>
      </c>
      <c r="BK48">
        <f>BK50-(BK52/10)</f>
        <v>0</v>
      </c>
      <c r="BR48" s="64">
        <v>18</v>
      </c>
      <c r="BS48" s="38" t="s">
        <v>141</v>
      </c>
      <c r="CM48" s="50"/>
      <c r="CN48" s="60">
        <v>19</v>
      </c>
      <c r="CO48" s="35" t="s">
        <v>141</v>
      </c>
      <c r="CQ48" s="64">
        <v>36</v>
      </c>
      <c r="CR48" s="38" t="s">
        <v>141</v>
      </c>
      <c r="CT48" s="52"/>
      <c r="CU48" s="52"/>
      <c r="CX48" s="50"/>
      <c r="CY48" s="60">
        <v>21</v>
      </c>
      <c r="CZ48" s="35" t="s">
        <v>141</v>
      </c>
      <c r="DB48" s="64">
        <v>22</v>
      </c>
      <c r="DC48" s="38" t="s">
        <v>141</v>
      </c>
      <c r="DE48" s="52"/>
      <c r="DH48" s="60">
        <v>35</v>
      </c>
      <c r="DI48" s="35" t="s">
        <v>141</v>
      </c>
      <c r="DK48" s="64">
        <v>41</v>
      </c>
      <c r="DL48" s="38" t="s">
        <v>141</v>
      </c>
    </row>
    <row r="49" spans="3:116" ht="15" customHeight="1" x14ac:dyDescent="0.2">
      <c r="C49" s="291"/>
      <c r="D49" s="436" t="s">
        <v>191</v>
      </c>
      <c r="E49" s="436"/>
      <c r="F49" s="436"/>
      <c r="G49" s="436"/>
      <c r="H49" s="436"/>
      <c r="I49" s="436"/>
      <c r="J49" s="436"/>
      <c r="K49" s="436"/>
      <c r="L49" s="312"/>
      <c r="M49" s="259"/>
      <c r="N49" s="259"/>
      <c r="O49" s="256"/>
      <c r="P49" s="292"/>
      <c r="Y49" s="267"/>
      <c r="Z49" s="268"/>
      <c r="AB49" s="5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X49" s="125" t="s">
        <v>66</v>
      </c>
      <c r="AY49" s="125"/>
      <c r="BD49" s="121" t="s">
        <v>155</v>
      </c>
      <c r="BE49" s="121"/>
      <c r="BF49" s="81" t="e">
        <f>IF(BK56&gt;40.75,BK66,BK67)</f>
        <v>#DIV/0!</v>
      </c>
      <c r="BJ49" s="310" t="s">
        <v>160</v>
      </c>
      <c r="BK49">
        <f>BK51-(BK53/10)</f>
        <v>0</v>
      </c>
      <c r="CM49" s="50"/>
      <c r="CQ49" s="125" t="s">
        <v>131</v>
      </c>
      <c r="CR49" s="125"/>
      <c r="CT49" s="52"/>
      <c r="CU49" s="52"/>
      <c r="CX49" s="50"/>
      <c r="DB49" s="125" t="s">
        <v>131</v>
      </c>
      <c r="DC49" s="125"/>
      <c r="DE49" s="52"/>
    </row>
    <row r="50" spans="3:116" ht="15" customHeight="1" x14ac:dyDescent="0.2">
      <c r="C50" s="291"/>
      <c r="D50" s="436"/>
      <c r="E50" s="436"/>
      <c r="F50" s="436"/>
      <c r="G50" s="436"/>
      <c r="H50" s="436"/>
      <c r="I50" s="436"/>
      <c r="J50" s="436"/>
      <c r="K50" s="436"/>
      <c r="L50" s="312"/>
      <c r="M50" s="259"/>
      <c r="N50" s="259"/>
      <c r="O50" s="256"/>
      <c r="P50" s="292"/>
      <c r="Y50" s="272" t="s">
        <v>371</v>
      </c>
      <c r="Z50" s="275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X50" s="41">
        <v>0.01</v>
      </c>
      <c r="AY50" s="37" t="s">
        <v>126</v>
      </c>
      <c r="BD50" s="79"/>
      <c r="BE50" s="79"/>
      <c r="BF50" s="79"/>
      <c r="BJ50" s="310" t="s">
        <v>161</v>
      </c>
      <c r="BK50">
        <f>'Avaliação Física 2'!AJ16</f>
        <v>0</v>
      </c>
      <c r="CM50" s="50"/>
      <c r="CN50" s="124" t="s">
        <v>66</v>
      </c>
      <c r="CO50" s="124"/>
      <c r="CQ50" s="65">
        <v>0</v>
      </c>
      <c r="CR50" s="37" t="s">
        <v>144</v>
      </c>
      <c r="CT50" s="52"/>
      <c r="CU50" s="52"/>
      <c r="CX50" s="50"/>
      <c r="CY50" s="124" t="s">
        <v>66</v>
      </c>
      <c r="CZ50" s="124"/>
      <c r="DB50" s="65">
        <v>0</v>
      </c>
      <c r="DC50" s="37" t="s">
        <v>144</v>
      </c>
      <c r="DE50" s="52"/>
      <c r="DH50" s="126"/>
      <c r="DI50" s="126"/>
      <c r="DK50" s="126"/>
      <c r="DL50" s="126"/>
    </row>
    <row r="51" spans="3:116" ht="4.9000000000000004" customHeight="1" x14ac:dyDescent="0.2">
      <c r="C51" s="291"/>
      <c r="D51" s="293"/>
      <c r="E51" s="293"/>
      <c r="F51" s="294"/>
      <c r="G51" s="221"/>
      <c r="H51" s="221"/>
      <c r="I51" s="221"/>
      <c r="J51" s="221"/>
      <c r="K51" s="221"/>
      <c r="L51" s="312"/>
      <c r="M51" s="259"/>
      <c r="N51" s="259"/>
      <c r="O51" s="256"/>
      <c r="P51" s="292"/>
      <c r="Y51" s="267"/>
      <c r="Z51" s="268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X51" s="39">
        <v>0.91</v>
      </c>
      <c r="AY51" s="37" t="s">
        <v>127</v>
      </c>
      <c r="BJ51" s="310" t="s">
        <v>162</v>
      </c>
      <c r="BK51">
        <f>AJ18</f>
        <v>0</v>
      </c>
      <c r="CM51" s="50"/>
      <c r="CN51" s="60">
        <v>0</v>
      </c>
      <c r="CO51" s="34" t="s">
        <v>144</v>
      </c>
      <c r="CQ51" s="65">
        <v>13</v>
      </c>
      <c r="CR51" s="37" t="s">
        <v>143</v>
      </c>
      <c r="CT51" s="52"/>
      <c r="CU51" s="52"/>
      <c r="CX51" s="50"/>
      <c r="CY51" s="60">
        <v>0</v>
      </c>
      <c r="CZ51" s="34" t="s">
        <v>144</v>
      </c>
      <c r="DB51" s="65">
        <v>7</v>
      </c>
      <c r="DC51" s="37" t="s">
        <v>143</v>
      </c>
      <c r="DE51" s="52"/>
      <c r="DH51" s="86"/>
      <c r="DK51" s="86"/>
    </row>
    <row r="52" spans="3:116" ht="15" x14ac:dyDescent="0.2">
      <c r="C52" s="291"/>
      <c r="D52" s="437" t="s">
        <v>360</v>
      </c>
      <c r="E52" s="437"/>
      <c r="F52" s="437"/>
      <c r="G52" s="437"/>
      <c r="H52" s="437"/>
      <c r="I52" s="437"/>
      <c r="J52" s="437"/>
      <c r="K52" s="221"/>
      <c r="L52" s="312"/>
      <c r="M52" s="259"/>
      <c r="N52" s="259"/>
      <c r="O52" s="256"/>
      <c r="P52" s="292"/>
      <c r="Y52" s="269" t="e">
        <f>((4.95/Y48)-4.5)*100</f>
        <v>#VALUE!</v>
      </c>
      <c r="Z52" s="268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X52" s="39">
        <v>0.99</v>
      </c>
      <c r="AY52" s="37" t="s">
        <v>128</v>
      </c>
      <c r="BJ52" s="310" t="s">
        <v>163</v>
      </c>
      <c r="BK52">
        <f>'Avaliação Física 2'!DV16</f>
        <v>0</v>
      </c>
      <c r="CM52" s="50"/>
      <c r="CN52" s="60">
        <v>2</v>
      </c>
      <c r="CO52" s="34" t="s">
        <v>143</v>
      </c>
      <c r="CQ52" s="65">
        <v>18</v>
      </c>
      <c r="CR52" s="37" t="s">
        <v>142</v>
      </c>
      <c r="CT52" s="52"/>
      <c r="CU52" s="52"/>
      <c r="CX52" s="50"/>
      <c r="CY52" s="60">
        <v>1</v>
      </c>
      <c r="CZ52" s="34" t="s">
        <v>143</v>
      </c>
      <c r="DB52" s="65">
        <v>10</v>
      </c>
      <c r="DC52" s="37" t="s">
        <v>142</v>
      </c>
      <c r="DE52" s="52"/>
      <c r="DH52" s="86"/>
      <c r="DK52" s="86"/>
    </row>
    <row r="53" spans="3:116" ht="4.1500000000000004" customHeight="1" x14ac:dyDescent="0.2">
      <c r="C53" s="291"/>
      <c r="D53" s="293"/>
      <c r="E53" s="293"/>
      <c r="F53" s="293"/>
      <c r="G53" s="293"/>
      <c r="H53" s="293"/>
      <c r="I53" s="293"/>
      <c r="J53" s="293"/>
      <c r="K53" s="221"/>
      <c r="L53" s="312"/>
      <c r="M53" s="259"/>
      <c r="N53" s="259"/>
      <c r="O53" s="256"/>
      <c r="P53" s="292"/>
      <c r="Y53" s="270"/>
      <c r="Z53" s="271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X53" s="39">
        <v>1.04</v>
      </c>
      <c r="AY53" s="37" t="s">
        <v>129</v>
      </c>
      <c r="BJ53" s="310" t="s">
        <v>164</v>
      </c>
      <c r="BK53">
        <f>'Avaliação Física 2'!DV21</f>
        <v>0</v>
      </c>
      <c r="CM53" s="50"/>
      <c r="CN53" s="60">
        <v>4</v>
      </c>
      <c r="CO53" s="34" t="s">
        <v>142</v>
      </c>
      <c r="CQ53" s="65">
        <v>22</v>
      </c>
      <c r="CR53" s="37" t="s">
        <v>140</v>
      </c>
      <c r="CT53" s="52"/>
      <c r="CU53" s="52"/>
      <c r="CX53" s="50"/>
      <c r="CY53" s="60">
        <v>5</v>
      </c>
      <c r="CZ53" s="34" t="s">
        <v>142</v>
      </c>
      <c r="DB53" s="65">
        <v>13</v>
      </c>
      <c r="DC53" s="37" t="s">
        <v>140</v>
      </c>
      <c r="DE53" s="52"/>
      <c r="DH53" s="86"/>
      <c r="DK53" s="86"/>
    </row>
    <row r="54" spans="3:116" ht="14.25" customHeight="1" x14ac:dyDescent="0.2">
      <c r="C54" s="291"/>
      <c r="D54" s="437" t="s">
        <v>9</v>
      </c>
      <c r="E54" s="437"/>
      <c r="F54" s="437"/>
      <c r="G54" s="437"/>
      <c r="H54" s="437"/>
      <c r="I54" s="437"/>
      <c r="J54" s="437"/>
      <c r="K54" s="221"/>
      <c r="L54" s="312"/>
      <c r="M54" s="259"/>
      <c r="N54" s="259"/>
      <c r="O54" s="256"/>
      <c r="P54" s="292"/>
      <c r="T54" s="21" t="e">
        <f>(X68+X78+S78)/3</f>
        <v>#VALUE!</v>
      </c>
      <c r="X54" s="102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BB54" s="121" t="s">
        <v>185</v>
      </c>
      <c r="BC54" s="121"/>
      <c r="BD54" s="121"/>
      <c r="CM54" s="50"/>
      <c r="CN54" s="60">
        <v>12</v>
      </c>
      <c r="CO54" s="34" t="s">
        <v>140</v>
      </c>
      <c r="CQ54" s="64">
        <v>31</v>
      </c>
      <c r="CR54" s="38" t="s">
        <v>141</v>
      </c>
      <c r="CT54" s="52"/>
      <c r="CU54" s="52"/>
      <c r="CX54" s="50"/>
      <c r="CY54" s="60">
        <v>12</v>
      </c>
      <c r="CZ54" s="34" t="s">
        <v>140</v>
      </c>
      <c r="DB54" s="64">
        <v>21</v>
      </c>
      <c r="DC54" s="38" t="s">
        <v>141</v>
      </c>
      <c r="DE54" s="52"/>
      <c r="DH54" s="86"/>
      <c r="DK54" s="86"/>
    </row>
    <row r="55" spans="3:116" ht="4.9000000000000004" customHeight="1" x14ac:dyDescent="0.2">
      <c r="C55" s="291"/>
      <c r="D55" s="293"/>
      <c r="E55" s="293"/>
      <c r="F55" s="294"/>
      <c r="G55" s="221"/>
      <c r="H55" s="221"/>
      <c r="I55" s="221"/>
      <c r="J55" s="221"/>
      <c r="K55" s="221"/>
      <c r="L55" s="312"/>
      <c r="M55" s="259"/>
      <c r="N55" s="259"/>
      <c r="O55" s="256"/>
      <c r="P55" s="29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BB55" s="79"/>
      <c r="BC55" s="79"/>
      <c r="BD55" s="79"/>
      <c r="BO55" s="126" t="s">
        <v>155</v>
      </c>
      <c r="BP55" s="126"/>
      <c r="BQ55" t="e">
        <f>IF(BK56&gt;0.01,HLOOKUP(BK56,BN66:BO68,3,TRUE))</f>
        <v>#DIV/0!</v>
      </c>
      <c r="CM55" s="55"/>
      <c r="CN55" s="61">
        <v>16</v>
      </c>
      <c r="CO55" s="35" t="s">
        <v>141</v>
      </c>
      <c r="CP55" s="56"/>
      <c r="CQ55" s="62"/>
      <c r="CR55" s="62"/>
      <c r="CS55" s="56"/>
      <c r="CT55" s="57"/>
      <c r="CU55" s="57"/>
      <c r="CX55" s="55"/>
      <c r="CY55" s="61">
        <v>17</v>
      </c>
      <c r="CZ55" s="35" t="s">
        <v>141</v>
      </c>
      <c r="DA55" s="56"/>
      <c r="DB55" s="62"/>
      <c r="DC55" s="62"/>
      <c r="DD55" s="56"/>
      <c r="DE55" s="57"/>
      <c r="DH55" s="86"/>
      <c r="DK55" s="86"/>
    </row>
    <row r="56" spans="3:116" ht="15" customHeight="1" x14ac:dyDescent="0.2">
      <c r="C56" s="291"/>
      <c r="D56" s="437" t="s">
        <v>10</v>
      </c>
      <c r="E56" s="437"/>
      <c r="F56" s="437"/>
      <c r="G56" s="437"/>
      <c r="H56" s="437"/>
      <c r="I56" s="437"/>
      <c r="J56" s="437"/>
      <c r="K56" s="221"/>
      <c r="L56" s="312"/>
      <c r="M56" s="259"/>
      <c r="N56" s="259"/>
      <c r="O56" s="256"/>
      <c r="P56" s="292"/>
      <c r="BB56" s="121" t="s">
        <v>186</v>
      </c>
      <c r="BC56" s="121"/>
      <c r="BD56" s="121"/>
      <c r="BI56" s="126" t="s">
        <v>165</v>
      </c>
      <c r="BJ56" s="126"/>
      <c r="BK56" t="e">
        <f>BH61/BK58</f>
        <v>#DIV/0!</v>
      </c>
      <c r="CQ56" s="125" t="s">
        <v>66</v>
      </c>
      <c r="CR56" s="125"/>
      <c r="DB56" s="125" t="s">
        <v>66</v>
      </c>
      <c r="DC56" s="125"/>
    </row>
    <row r="57" spans="3:116" ht="4.9000000000000004" customHeight="1" x14ac:dyDescent="0.2">
      <c r="C57" s="291"/>
      <c r="D57" s="293"/>
      <c r="E57" s="293"/>
      <c r="F57" s="294"/>
      <c r="G57" s="221"/>
      <c r="H57" s="221"/>
      <c r="I57" s="221"/>
      <c r="J57" s="221"/>
      <c r="K57" s="221"/>
      <c r="L57" s="312"/>
      <c r="M57" s="259"/>
      <c r="N57" s="259"/>
      <c r="O57" s="256"/>
      <c r="P57" s="292"/>
      <c r="BB57" s="79"/>
      <c r="BC57" s="79"/>
      <c r="BD57" s="79"/>
      <c r="CQ57" s="64">
        <v>0</v>
      </c>
      <c r="CR57" s="37" t="s">
        <v>144</v>
      </c>
      <c r="DB57" s="64">
        <v>0</v>
      </c>
      <c r="DC57" s="37" t="s">
        <v>144</v>
      </c>
    </row>
    <row r="58" spans="3:116" ht="15" x14ac:dyDescent="0.2">
      <c r="C58" s="291"/>
      <c r="D58" s="436" t="s">
        <v>192</v>
      </c>
      <c r="E58" s="436"/>
      <c r="F58" s="436"/>
      <c r="G58" s="436"/>
      <c r="H58" s="436"/>
      <c r="I58" s="436"/>
      <c r="J58" s="436"/>
      <c r="K58" s="221"/>
      <c r="L58" s="312"/>
      <c r="M58" s="259"/>
      <c r="N58" s="259"/>
      <c r="O58" s="256"/>
      <c r="P58" s="292"/>
      <c r="V58" s="177" t="e">
        <f ca="1">(IF(E75="Faulkner",AB88,"-"),IF(E75="Jackson e Pollock 7 dobras",AB89,"-"),IF(E75="Jackson e Pollock 3 dobras",AB90,"-"),IF(E75="Guedes 3 dobras",AB91,"-"))</f>
        <v>#VALUE!</v>
      </c>
      <c r="BB58" s="79"/>
      <c r="BC58" s="79"/>
      <c r="BD58" s="79"/>
      <c r="BI58" t="s">
        <v>166</v>
      </c>
      <c r="BK58">
        <f>AP9^(1/3)</f>
        <v>0</v>
      </c>
      <c r="CQ58" s="64">
        <v>7</v>
      </c>
      <c r="CR58" s="37" t="s">
        <v>143</v>
      </c>
      <c r="DB58" s="64">
        <v>5</v>
      </c>
      <c r="DC58" s="37" t="s">
        <v>143</v>
      </c>
    </row>
    <row r="59" spans="3:116" ht="15" customHeight="1" x14ac:dyDescent="0.2">
      <c r="C59" s="291"/>
      <c r="D59" s="436"/>
      <c r="E59" s="436"/>
      <c r="F59" s="436"/>
      <c r="G59" s="436"/>
      <c r="H59" s="436"/>
      <c r="I59" s="436"/>
      <c r="J59" s="436"/>
      <c r="K59" s="221"/>
      <c r="L59" s="312"/>
      <c r="M59" s="259"/>
      <c r="N59" s="259"/>
      <c r="O59" s="256"/>
      <c r="P59" s="292"/>
      <c r="Y59" s="163" t="s">
        <v>262</v>
      </c>
      <c r="Z59" s="3"/>
      <c r="AA59" s="3"/>
      <c r="AB59" s="164"/>
      <c r="CQ59" s="64">
        <v>12</v>
      </c>
      <c r="CR59" s="37" t="s">
        <v>142</v>
      </c>
      <c r="DB59" s="64">
        <v>8</v>
      </c>
      <c r="DC59" s="37" t="s">
        <v>142</v>
      </c>
    </row>
    <row r="60" spans="3:116" ht="4.9000000000000004" customHeight="1" x14ac:dyDescent="0.2">
      <c r="C60" s="291"/>
      <c r="D60" s="293"/>
      <c r="E60" s="293"/>
      <c r="F60" s="294"/>
      <c r="G60" s="221"/>
      <c r="H60" s="221"/>
      <c r="I60" s="221"/>
      <c r="J60" s="221"/>
      <c r="K60" s="221"/>
      <c r="L60" s="312"/>
      <c r="M60" s="259"/>
      <c r="N60" s="259"/>
      <c r="O60" s="256"/>
      <c r="P60" s="292"/>
      <c r="Y60" s="2"/>
      <c r="Z60" s="106"/>
      <c r="AA60" s="106"/>
      <c r="AB60" s="165"/>
      <c r="CQ60" s="64">
        <v>11</v>
      </c>
      <c r="CR60" s="37" t="s">
        <v>140</v>
      </c>
      <c r="DB60" s="64">
        <v>11</v>
      </c>
      <c r="DC60" s="37" t="s">
        <v>140</v>
      </c>
    </row>
    <row r="61" spans="3:116" ht="15" customHeight="1" x14ac:dyDescent="0.2">
      <c r="C61" s="291"/>
      <c r="D61" s="436" t="s">
        <v>193</v>
      </c>
      <c r="E61" s="436"/>
      <c r="F61" s="436"/>
      <c r="G61" s="436"/>
      <c r="H61" s="436"/>
      <c r="I61" s="436"/>
      <c r="J61" s="436"/>
      <c r="K61" s="221"/>
      <c r="L61" s="312"/>
      <c r="M61" s="259"/>
      <c r="N61" s="259"/>
      <c r="O61" s="256"/>
      <c r="P61" s="292"/>
      <c r="Y61" s="2">
        <f>J77+N77+N78</f>
        <v>0</v>
      </c>
      <c r="Z61" s="106"/>
      <c r="AA61" s="106"/>
      <c r="AB61" s="165"/>
      <c r="BG61" s="75" t="s">
        <v>167</v>
      </c>
      <c r="BH61" s="73">
        <f>AP10*100</f>
        <v>0</v>
      </c>
      <c r="BK61" t="e">
        <f ca="1">IF(BK56&gt;40.75,(BK56*0.732)-28.58),IF(BK56&lt;=40.74,(BK56*0.463)-17.63),IF(BK56&lt;=38.25,0.1)</f>
        <v>#DIV/0!</v>
      </c>
      <c r="CQ61" s="64">
        <v>26</v>
      </c>
      <c r="CR61" s="38" t="s">
        <v>141</v>
      </c>
      <c r="DB61" s="64">
        <v>18</v>
      </c>
      <c r="DC61" s="38" t="s">
        <v>141</v>
      </c>
    </row>
    <row r="62" spans="3:116" ht="15" x14ac:dyDescent="0.2">
      <c r="C62" s="291"/>
      <c r="D62" s="436"/>
      <c r="E62" s="436"/>
      <c r="F62" s="436"/>
      <c r="G62" s="436"/>
      <c r="H62" s="436"/>
      <c r="I62" s="436"/>
      <c r="J62" s="436"/>
      <c r="K62" s="221"/>
      <c r="L62" s="312"/>
      <c r="M62" s="259"/>
      <c r="N62" s="259"/>
      <c r="O62" s="256"/>
      <c r="P62" s="292"/>
      <c r="V62" s="21" t="e">
        <f ca="1">IF(E75="Faulkner",S78,"-"),IF(E75="Jackson e Pollock 7 dobras",EL26,"-"),IF(E75="Jackson e Pollock 3 dobras",X78,"-")</f>
        <v>#VALUE!</v>
      </c>
      <c r="Y62" s="2"/>
      <c r="Z62" s="106"/>
      <c r="AA62" s="106"/>
      <c r="AB62" s="165"/>
      <c r="BC62" s="126"/>
      <c r="BD62" s="126"/>
      <c r="BE62" s="126"/>
    </row>
    <row r="63" spans="3:116" ht="4.9000000000000004" customHeight="1" x14ac:dyDescent="0.2">
      <c r="C63" s="291"/>
      <c r="D63" s="293"/>
      <c r="E63" s="293"/>
      <c r="F63" s="294"/>
      <c r="G63" s="221"/>
      <c r="H63" s="221"/>
      <c r="I63" s="221"/>
      <c r="J63" s="221"/>
      <c r="K63" s="221"/>
      <c r="L63" s="312"/>
      <c r="M63" s="259"/>
      <c r="N63" s="259"/>
      <c r="O63" s="256"/>
      <c r="P63" s="292"/>
      <c r="Y63" s="2"/>
      <c r="Z63" s="106"/>
      <c r="AA63" s="106"/>
      <c r="AB63" s="165"/>
      <c r="BC63" s="126"/>
      <c r="BD63" s="126"/>
      <c r="BE63" s="126"/>
    </row>
    <row r="64" spans="3:116" ht="15" x14ac:dyDescent="0.2">
      <c r="C64" s="291"/>
      <c r="D64" s="437" t="s">
        <v>11</v>
      </c>
      <c r="E64" s="437"/>
      <c r="F64" s="437"/>
      <c r="G64" s="437"/>
      <c r="H64" s="437"/>
      <c r="I64" s="437"/>
      <c r="J64" s="437"/>
      <c r="K64" s="221"/>
      <c r="L64" s="312"/>
      <c r="M64" s="259"/>
      <c r="N64" s="259"/>
      <c r="O64" s="256"/>
      <c r="P64" s="292"/>
      <c r="Y64" s="2" t="s">
        <v>261</v>
      </c>
      <c r="Z64" s="106"/>
      <c r="AA64" s="106"/>
      <c r="AB64" s="165"/>
      <c r="BB64">
        <v>3</v>
      </c>
      <c r="BC64" s="126" t="s">
        <v>174</v>
      </c>
      <c r="BD64" s="126"/>
      <c r="BE64" s="126"/>
    </row>
    <row r="65" spans="3:69" ht="15" x14ac:dyDescent="0.2">
      <c r="C65" s="295"/>
      <c r="D65" s="296"/>
      <c r="E65" s="296"/>
      <c r="F65" s="297"/>
      <c r="G65" s="279"/>
      <c r="H65" s="279"/>
      <c r="I65" s="279"/>
      <c r="J65" s="279"/>
      <c r="K65" s="279"/>
      <c r="L65" s="298"/>
      <c r="M65" s="299"/>
      <c r="N65" s="299"/>
      <c r="O65" s="298"/>
      <c r="P65" s="300"/>
      <c r="Y65" s="166">
        <f>F78+J79+N78</f>
        <v>0</v>
      </c>
      <c r="Z65" s="1"/>
      <c r="AA65" s="1"/>
      <c r="AB65" s="168"/>
      <c r="BC65" s="126"/>
      <c r="BD65" s="126"/>
      <c r="BE65" s="126"/>
      <c r="BI65" s="127" t="s">
        <v>171</v>
      </c>
      <c r="BJ65" s="127"/>
      <c r="BK65" s="127"/>
      <c r="BM65" s="127" t="s">
        <v>171</v>
      </c>
      <c r="BN65" s="127"/>
      <c r="BO65" s="127"/>
    </row>
    <row r="66" spans="3:69" ht="15" hidden="1" x14ac:dyDescent="0.2">
      <c r="BC66" s="126"/>
      <c r="BD66" s="126"/>
      <c r="BE66" s="126"/>
      <c r="BI66" s="71"/>
      <c r="BJ66" s="71" t="s">
        <v>168</v>
      </c>
      <c r="BK66" s="74" t="e">
        <f>(BK56*0.732)-28.58</f>
        <v>#DIV/0!</v>
      </c>
      <c r="BM66" s="71"/>
      <c r="BN66" s="77">
        <v>40.76</v>
      </c>
      <c r="BO66" s="74" t="e">
        <f>BK66</f>
        <v>#DIV/0!</v>
      </c>
    </row>
    <row r="67" spans="3:69" ht="15" x14ac:dyDescent="0.2">
      <c r="C67" s="362" t="s">
        <v>203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S67" t="s">
        <v>375</v>
      </c>
      <c r="BC67" s="126"/>
      <c r="BD67" s="126"/>
      <c r="BE67" s="126"/>
      <c r="BI67" s="128" t="s">
        <v>169</v>
      </c>
      <c r="BJ67" s="128"/>
      <c r="BK67" s="74" t="e">
        <f>(BK56*0.463)-17.63</f>
        <v>#DIV/0!</v>
      </c>
      <c r="BM67" s="76"/>
      <c r="BN67" s="78">
        <v>38.26</v>
      </c>
      <c r="BO67" s="74" t="e">
        <f>BK67</f>
        <v>#DIV/0!</v>
      </c>
    </row>
    <row r="68" spans="3:69" ht="15" x14ac:dyDescent="0.2">
      <c r="C68" s="238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7"/>
      <c r="S68" t="s">
        <v>385</v>
      </c>
      <c r="W68" s="310" t="s">
        <v>40</v>
      </c>
      <c r="X68" s="178" t="str">
        <f>IF(E75="Faulkner",S78,"-")</f>
        <v>-</v>
      </c>
      <c r="Z68" s="32"/>
      <c r="AB68" s="21"/>
      <c r="AD68" s="21"/>
      <c r="BC68" s="126"/>
      <c r="BD68" s="126"/>
      <c r="BE68" s="126"/>
      <c r="BI68" s="71"/>
      <c r="BJ68" s="71" t="s">
        <v>170</v>
      </c>
      <c r="BK68" s="71">
        <v>0.1</v>
      </c>
      <c r="BM68" s="71"/>
      <c r="BN68" s="77">
        <v>1</v>
      </c>
      <c r="BO68" s="74">
        <f>BK68</f>
        <v>0.1</v>
      </c>
    </row>
    <row r="69" spans="3:69" ht="15" x14ac:dyDescent="0.2">
      <c r="C69" s="240"/>
      <c r="D69" s="221"/>
      <c r="E69" s="221"/>
      <c r="F69" s="306" t="s">
        <v>92</v>
      </c>
      <c r="G69" s="221"/>
      <c r="H69" s="306" t="s">
        <v>93</v>
      </c>
      <c r="I69" s="221"/>
      <c r="J69" s="221"/>
      <c r="K69" s="221"/>
      <c r="L69" s="221"/>
      <c r="M69" s="221"/>
      <c r="N69" s="221"/>
      <c r="O69" s="221"/>
      <c r="P69" s="278"/>
      <c r="S69" t="s">
        <v>258</v>
      </c>
      <c r="BC69" s="126"/>
      <c r="BD69" s="126"/>
      <c r="BE69" s="126"/>
    </row>
    <row r="70" spans="3:69" ht="15" x14ac:dyDescent="0.2">
      <c r="C70" s="240"/>
      <c r="D70" s="307" t="s">
        <v>12</v>
      </c>
      <c r="E70" s="307"/>
      <c r="F70" s="313"/>
      <c r="G70" s="221"/>
      <c r="H70" s="313"/>
      <c r="I70" s="221"/>
      <c r="J70" s="377" t="s">
        <v>91</v>
      </c>
      <c r="K70" s="377"/>
      <c r="L70" s="249"/>
      <c r="M70" s="221"/>
      <c r="N70" s="221"/>
      <c r="O70" s="221"/>
      <c r="P70" s="278"/>
      <c r="S70" t="s">
        <v>265</v>
      </c>
      <c r="BB70">
        <v>9</v>
      </c>
      <c r="BC70" s="126" t="s">
        <v>180</v>
      </c>
      <c r="BD70" s="126"/>
      <c r="BE70" s="126"/>
    </row>
    <row r="71" spans="3:69" ht="15" x14ac:dyDescent="0.2">
      <c r="C71" s="240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78"/>
      <c r="S71" t="s">
        <v>373</v>
      </c>
      <c r="W71" s="163"/>
      <c r="X71" s="169" t="s">
        <v>260</v>
      </c>
      <c r="Y71" s="169"/>
      <c r="Z71" s="169"/>
      <c r="AA71" s="171"/>
      <c r="BC71" s="126"/>
      <c r="BD71" s="126"/>
      <c r="BE71" s="126"/>
      <c r="BQ71" s="79" t="s">
        <v>138</v>
      </c>
    </row>
    <row r="72" spans="3:69" ht="15" x14ac:dyDescent="0.2">
      <c r="C72" s="240"/>
      <c r="D72" s="377" t="s">
        <v>118</v>
      </c>
      <c r="E72" s="377"/>
      <c r="F72" s="264"/>
      <c r="G72" s="221"/>
      <c r="H72" s="377" t="s">
        <v>17</v>
      </c>
      <c r="I72" s="377"/>
      <c r="J72" s="250"/>
      <c r="K72" s="377" t="s">
        <v>277</v>
      </c>
      <c r="L72" s="377"/>
      <c r="M72" s="377"/>
      <c r="N72" s="258" t="str">
        <f>IF(J72="","-",66+(13.8*F72)+(5*U102)-(6.8*N9))</f>
        <v>-</v>
      </c>
      <c r="O72" s="221"/>
      <c r="P72" s="278"/>
      <c r="S72" t="s">
        <v>372</v>
      </c>
      <c r="W72" s="2"/>
      <c r="X72" s="106" t="e">
        <f>IF(EJ4=0,SUM(1.0994921-(0.0009929*Y65)+(0.0000023*(Y65*Y65))-(0.0001392*N9)),SUM((1.10938-(0.0008267*Y61)+(0.0000016*(Y61*Y61))-(0.0002574*N9))))</f>
        <v>#VALUE!</v>
      </c>
      <c r="Y72" s="106"/>
      <c r="Z72" s="106"/>
      <c r="AA72" s="165"/>
      <c r="BC72" s="126"/>
      <c r="BD72" s="126"/>
      <c r="BE72" s="126"/>
      <c r="BQ72" s="79">
        <v>6</v>
      </c>
    </row>
    <row r="73" spans="3:69" ht="15" x14ac:dyDescent="0.2">
      <c r="C73" s="240"/>
      <c r="D73" s="307"/>
      <c r="E73" s="307"/>
      <c r="F73" s="312"/>
      <c r="G73" s="256"/>
      <c r="H73" s="312"/>
      <c r="I73" s="221"/>
      <c r="J73" s="221"/>
      <c r="K73" s="221"/>
      <c r="L73" s="221"/>
      <c r="M73" s="221"/>
      <c r="N73" s="221"/>
      <c r="O73" s="221"/>
      <c r="P73" s="278"/>
      <c r="S73" t="s">
        <v>387</v>
      </c>
      <c r="W73" s="2"/>
      <c r="X73" s="106"/>
      <c r="Y73" s="106"/>
      <c r="Z73" s="106"/>
      <c r="AA73" s="165"/>
      <c r="BC73" s="126"/>
      <c r="BD73" s="126"/>
      <c r="BE73" s="126"/>
    </row>
    <row r="74" spans="3:69" ht="15" x14ac:dyDescent="0.2">
      <c r="C74" s="240"/>
      <c r="D74" s="493" t="s">
        <v>256</v>
      </c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78"/>
      <c r="S74" t="s">
        <v>374</v>
      </c>
      <c r="W74" s="2"/>
      <c r="X74" s="106"/>
      <c r="Y74" s="106"/>
      <c r="Z74" s="106"/>
      <c r="AA74" s="165"/>
      <c r="BC74" s="126"/>
      <c r="BD74" s="126"/>
      <c r="BE74" s="126"/>
    </row>
    <row r="75" spans="3:69" ht="15" x14ac:dyDescent="0.2">
      <c r="C75" s="240"/>
      <c r="D75" s="493"/>
      <c r="E75" s="383"/>
      <c r="F75" s="384"/>
      <c r="G75" s="384"/>
      <c r="H75" s="384"/>
      <c r="I75" s="384"/>
      <c r="J75" s="385"/>
      <c r="K75" s="221"/>
      <c r="L75" s="221"/>
      <c r="M75" s="221"/>
      <c r="N75" s="221"/>
      <c r="O75" s="221"/>
      <c r="P75" s="278"/>
      <c r="S75" t="s">
        <v>376</v>
      </c>
      <c r="W75" s="2"/>
      <c r="X75" s="106"/>
      <c r="Y75" s="106"/>
      <c r="Z75" s="106"/>
      <c r="AA75" s="165"/>
      <c r="BC75" s="126"/>
      <c r="BD75" s="126"/>
      <c r="BE75" s="126"/>
    </row>
    <row r="76" spans="3:69" ht="15" x14ac:dyDescent="0.2">
      <c r="C76" s="240"/>
      <c r="D76" s="376" t="s">
        <v>116</v>
      </c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221"/>
      <c r="P76" s="278"/>
      <c r="W76" s="2"/>
      <c r="X76" s="106"/>
      <c r="Y76" s="106"/>
      <c r="Z76" s="106"/>
      <c r="AA76" s="165"/>
      <c r="BC76" s="126"/>
      <c r="BD76" s="126"/>
      <c r="BE76" s="126"/>
      <c r="BL76" t="e">
        <f>VLOOKUP(BQ72,BB62:BE76,2,FALSE)</f>
        <v>#N/A</v>
      </c>
    </row>
    <row r="77" spans="3:69" ht="15" x14ac:dyDescent="0.2">
      <c r="C77" s="240"/>
      <c r="D77" s="377" t="s">
        <v>18</v>
      </c>
      <c r="E77" s="377"/>
      <c r="F77" s="313"/>
      <c r="G77" s="221"/>
      <c r="H77" s="377" t="s">
        <v>20</v>
      </c>
      <c r="I77" s="377"/>
      <c r="J77" s="313"/>
      <c r="K77" s="221"/>
      <c r="L77" s="377" t="s">
        <v>22</v>
      </c>
      <c r="M77" s="377"/>
      <c r="N77" s="313"/>
      <c r="O77" s="221"/>
      <c r="P77" s="278"/>
      <c r="S77" s="175" t="s">
        <v>259</v>
      </c>
      <c r="W77" s="2"/>
      <c r="X77" s="170" t="s">
        <v>266</v>
      </c>
      <c r="Y77" s="170"/>
      <c r="Z77" s="106"/>
      <c r="AA77" s="165"/>
    </row>
    <row r="78" spans="3:69" ht="15" x14ac:dyDescent="0.2">
      <c r="C78" s="240"/>
      <c r="D78" s="377" t="s">
        <v>19</v>
      </c>
      <c r="E78" s="377"/>
      <c r="F78" s="313"/>
      <c r="G78" s="221"/>
      <c r="H78" s="377" t="s">
        <v>21</v>
      </c>
      <c r="I78" s="377"/>
      <c r="J78" s="313"/>
      <c r="K78" s="221"/>
      <c r="L78" s="377" t="s">
        <v>23</v>
      </c>
      <c r="M78" s="377"/>
      <c r="N78" s="313"/>
      <c r="O78" s="221"/>
      <c r="P78" s="278"/>
      <c r="S78" s="176">
        <f>(F78+F77+J79+N77)*0.153+5.783</f>
        <v>5.7830000000000004</v>
      </c>
      <c r="W78" s="166"/>
      <c r="X78" s="167" t="e">
        <f>((4.95/X72)-4.5)*100</f>
        <v>#VALUE!</v>
      </c>
      <c r="Y78" s="1"/>
      <c r="Z78" s="1"/>
      <c r="AA78" s="168"/>
    </row>
    <row r="79" spans="3:69" ht="15" x14ac:dyDescent="0.2">
      <c r="C79" s="240"/>
      <c r="D79" s="377" t="s">
        <v>368</v>
      </c>
      <c r="E79" s="377"/>
      <c r="F79" s="313"/>
      <c r="G79" s="221"/>
      <c r="H79" s="377" t="s">
        <v>43</v>
      </c>
      <c r="I79" s="377"/>
      <c r="J79" s="313"/>
      <c r="K79" s="221"/>
      <c r="L79" s="377" t="s">
        <v>367</v>
      </c>
      <c r="M79" s="377"/>
      <c r="N79" s="313"/>
      <c r="O79" s="221"/>
      <c r="P79" s="278"/>
    </row>
    <row r="80" spans="3:69" ht="15" x14ac:dyDescent="0.2">
      <c r="C80" s="240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78"/>
      <c r="W80" s="426" t="s">
        <v>375</v>
      </c>
      <c r="X80" s="426"/>
      <c r="Y80" s="21" t="e">
        <f>IF(L9="Feminino",1.2*J101+0.23*N9-10.8*0-5.4,1.2*J101+0.23*N9-10.8*1-5.4)</f>
        <v>#VALUE!</v>
      </c>
    </row>
    <row r="81" spans="3:61" ht="15" x14ac:dyDescent="0.2">
      <c r="C81" s="240"/>
      <c r="D81" s="221"/>
      <c r="E81" s="221"/>
      <c r="F81" s="221"/>
      <c r="G81" s="221"/>
      <c r="H81" s="221"/>
      <c r="I81" s="221"/>
      <c r="J81" s="221"/>
      <c r="K81" s="221"/>
      <c r="L81" s="377" t="s">
        <v>24</v>
      </c>
      <c r="M81" s="377"/>
      <c r="N81" s="257">
        <f>'Avaliação Física 2'!DV23+N79+F79</f>
        <v>0</v>
      </c>
      <c r="O81" s="221"/>
      <c r="P81" s="278"/>
      <c r="W81" s="426" t="s">
        <v>376</v>
      </c>
      <c r="X81" s="426"/>
      <c r="Y81" s="21">
        <f>IF(L9="feminino",0.11077*F87-0.17666*U102+0.187*F72+51.03301,0.31457*F87-0.10969*F72+10.8336)</f>
        <v>10.833600000000001</v>
      </c>
    </row>
    <row r="82" spans="3:61" ht="15" x14ac:dyDescent="0.2">
      <c r="C82" s="240"/>
      <c r="D82" s="486" t="s">
        <v>117</v>
      </c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221"/>
      <c r="P82" s="278"/>
    </row>
    <row r="83" spans="3:61" ht="15" x14ac:dyDescent="0.2">
      <c r="C83" s="240"/>
      <c r="D83" s="221"/>
      <c r="E83" s="221"/>
      <c r="F83" s="221"/>
      <c r="G83" s="221"/>
      <c r="H83" s="221"/>
      <c r="I83" s="221"/>
      <c r="J83" s="306" t="s">
        <v>57</v>
      </c>
      <c r="K83" s="306"/>
      <c r="L83" s="306" t="s">
        <v>58</v>
      </c>
      <c r="M83" s="221"/>
      <c r="N83" s="221"/>
      <c r="O83" s="221"/>
      <c r="P83" s="278"/>
      <c r="S83" t="s">
        <v>257</v>
      </c>
    </row>
    <row r="84" spans="3:61" ht="15" x14ac:dyDescent="0.2">
      <c r="C84" s="240"/>
      <c r="D84" s="377" t="s">
        <v>226</v>
      </c>
      <c r="E84" s="377"/>
      <c r="F84" s="313"/>
      <c r="G84" s="221"/>
      <c r="H84" s="377" t="s">
        <v>207</v>
      </c>
      <c r="I84" s="377"/>
      <c r="J84" s="313"/>
      <c r="K84" s="221"/>
      <c r="L84" s="313"/>
      <c r="M84" s="221"/>
      <c r="N84" s="221"/>
      <c r="O84" s="221"/>
      <c r="P84" s="278"/>
    </row>
    <row r="85" spans="3:61" ht="15" x14ac:dyDescent="0.2">
      <c r="C85" s="240"/>
      <c r="D85" s="377" t="s">
        <v>227</v>
      </c>
      <c r="E85" s="377"/>
      <c r="F85" s="313"/>
      <c r="G85" s="221"/>
      <c r="H85" s="377" t="s">
        <v>208</v>
      </c>
      <c r="I85" s="377"/>
      <c r="J85" s="313"/>
      <c r="K85" s="221"/>
      <c r="L85" s="313"/>
      <c r="M85" s="221"/>
      <c r="N85" s="221"/>
      <c r="O85" s="221"/>
      <c r="P85" s="278"/>
      <c r="S85">
        <f>J84-L84</f>
        <v>0</v>
      </c>
      <c r="AA85" t="e">
        <f>INDEX(E75,MATCH(AB:AB,X:AA,0))</f>
        <v>#N/A</v>
      </c>
    </row>
    <row r="86" spans="3:61" ht="15" x14ac:dyDescent="0.2">
      <c r="C86" s="240"/>
      <c r="D86" s="377" t="s">
        <v>205</v>
      </c>
      <c r="E86" s="377"/>
      <c r="F86" s="313"/>
      <c r="G86" s="221"/>
      <c r="H86" s="377" t="s">
        <v>209</v>
      </c>
      <c r="I86" s="377"/>
      <c r="J86" s="313"/>
      <c r="K86" s="221"/>
      <c r="L86" s="313"/>
      <c r="M86" s="221"/>
      <c r="N86" s="221"/>
      <c r="O86" s="221"/>
      <c r="P86" s="278"/>
      <c r="S86">
        <f>J85-L85</f>
        <v>0</v>
      </c>
      <c r="BG86" s="82">
        <v>3</v>
      </c>
      <c r="BH86" s="82">
        <v>2</v>
      </c>
      <c r="BI86" s="82">
        <v>2</v>
      </c>
    </row>
    <row r="87" spans="3:61" ht="15" x14ac:dyDescent="0.2">
      <c r="C87" s="240"/>
      <c r="D87" s="377" t="s">
        <v>377</v>
      </c>
      <c r="E87" s="377"/>
      <c r="F87" s="313"/>
      <c r="G87" s="221"/>
      <c r="H87" s="377" t="s">
        <v>210</v>
      </c>
      <c r="I87" s="377"/>
      <c r="J87" s="313"/>
      <c r="K87" s="221"/>
      <c r="L87" s="313"/>
      <c r="M87" s="221"/>
      <c r="N87" s="221"/>
      <c r="O87" s="221"/>
      <c r="P87" s="278"/>
      <c r="S87">
        <f>J86-L86</f>
        <v>0</v>
      </c>
    </row>
    <row r="88" spans="3:61" ht="15" x14ac:dyDescent="0.2">
      <c r="C88" s="240"/>
      <c r="D88" s="377" t="s">
        <v>206</v>
      </c>
      <c r="E88" s="377"/>
      <c r="F88" s="313"/>
      <c r="G88" s="221"/>
      <c r="H88" s="487"/>
      <c r="I88" s="487"/>
      <c r="J88" s="313"/>
      <c r="K88" s="221"/>
      <c r="L88" s="313"/>
      <c r="M88" s="221"/>
      <c r="N88" s="221"/>
      <c r="O88" s="221"/>
      <c r="P88" s="278"/>
      <c r="S88">
        <f>J87-L87</f>
        <v>0</v>
      </c>
      <c r="U88" s="6" t="s">
        <v>26</v>
      </c>
      <c r="V88" s="6" t="s">
        <v>27</v>
      </c>
      <c r="X88">
        <v>1</v>
      </c>
      <c r="Y88" s="426" t="s">
        <v>258</v>
      </c>
      <c r="Z88" s="426"/>
      <c r="AA88" s="426"/>
      <c r="AB88" s="21">
        <f>S78</f>
        <v>5.7830000000000004</v>
      </c>
    </row>
    <row r="89" spans="3:61" ht="15" x14ac:dyDescent="0.2">
      <c r="C89" s="240"/>
      <c r="D89" s="307"/>
      <c r="E89" s="307"/>
      <c r="F89" s="256"/>
      <c r="G89" s="256"/>
      <c r="H89" s="256"/>
      <c r="I89" s="256"/>
      <c r="J89" s="256"/>
      <c r="K89" s="256"/>
      <c r="L89" s="256"/>
      <c r="M89" s="221"/>
      <c r="N89" s="221"/>
      <c r="O89" s="221"/>
      <c r="P89" s="278"/>
      <c r="U89" s="7"/>
      <c r="V89" s="7"/>
      <c r="X89">
        <v>2</v>
      </c>
      <c r="Y89" s="426" t="s">
        <v>263</v>
      </c>
      <c r="Z89" s="426"/>
      <c r="AA89" s="426"/>
      <c r="AB89" s="21" t="e">
        <f>EL26</f>
        <v>#VALUE!</v>
      </c>
    </row>
    <row r="90" spans="3:61" ht="15" x14ac:dyDescent="0.2">
      <c r="C90" s="240"/>
      <c r="D90" s="261"/>
      <c r="E90" s="261"/>
      <c r="F90" s="283"/>
      <c r="G90" s="283"/>
      <c r="H90" s="473"/>
      <c r="I90" s="473"/>
      <c r="J90" s="312"/>
      <c r="K90" s="256"/>
      <c r="L90" s="312"/>
      <c r="M90" s="221"/>
      <c r="N90" s="221"/>
      <c r="O90" s="221"/>
      <c r="P90" s="278"/>
      <c r="R90" s="310" t="s">
        <v>388</v>
      </c>
      <c r="S90">
        <f>IF(S85&lt;0,-S85,S85)</f>
        <v>0</v>
      </c>
      <c r="U90" s="7"/>
      <c r="V90" s="7"/>
      <c r="X90">
        <v>3</v>
      </c>
      <c r="Y90" s="426" t="s">
        <v>264</v>
      </c>
      <c r="Z90" s="426"/>
      <c r="AA90" s="426"/>
      <c r="AB90" s="21" t="e">
        <f>X78</f>
        <v>#VALUE!</v>
      </c>
    </row>
    <row r="91" spans="3:61" ht="15" x14ac:dyDescent="0.2">
      <c r="C91" s="240"/>
      <c r="D91" s="307" t="s">
        <v>62</v>
      </c>
      <c r="E91" s="430" t="str">
        <f>IF(F88="","-",F86/F88)</f>
        <v>-</v>
      </c>
      <c r="F91" s="488"/>
      <c r="G91" s="221"/>
      <c r="H91" s="307" t="s">
        <v>27</v>
      </c>
      <c r="I91" s="446" t="str">
        <f>IF(F88="","-",'Avaliação Física 2'!AY18)</f>
        <v>-</v>
      </c>
      <c r="J91" s="431"/>
      <c r="K91" s="221"/>
      <c r="L91" s="221"/>
      <c r="M91" s="221"/>
      <c r="N91" s="221"/>
      <c r="O91" s="221"/>
      <c r="P91" s="278"/>
      <c r="R91" s="310" t="s">
        <v>389</v>
      </c>
      <c r="S91">
        <f t="shared" ref="S91:S93" si="1">IF(S86&lt;0,-S86,S86)</f>
        <v>0</v>
      </c>
      <c r="U91" s="7">
        <v>0</v>
      </c>
      <c r="V91" s="7" t="s">
        <v>28</v>
      </c>
      <c r="X91">
        <v>4</v>
      </c>
      <c r="Y91" s="426" t="s">
        <v>265</v>
      </c>
      <c r="Z91" s="426"/>
      <c r="AA91" s="426"/>
      <c r="AB91" s="21" t="e">
        <f>Y43</f>
        <v>#NUM!</v>
      </c>
    </row>
    <row r="92" spans="3:61" ht="15" x14ac:dyDescent="0.2">
      <c r="C92" s="240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78"/>
      <c r="R92" s="310" t="s">
        <v>390</v>
      </c>
      <c r="S92">
        <f t="shared" si="1"/>
        <v>0</v>
      </c>
      <c r="U92" s="7">
        <v>16.100000000000001</v>
      </c>
      <c r="V92" s="7" t="s">
        <v>29</v>
      </c>
      <c r="X92">
        <v>5</v>
      </c>
      <c r="Y92" s="477" t="s">
        <v>374</v>
      </c>
      <c r="Z92" s="477"/>
      <c r="AA92" s="477"/>
      <c r="AB92">
        <f>T120</f>
        <v>1</v>
      </c>
      <c r="BB92">
        <v>1</v>
      </c>
      <c r="BC92" s="126" t="s">
        <v>172</v>
      </c>
      <c r="BD92" s="126"/>
      <c r="BE92" s="126"/>
    </row>
    <row r="93" spans="3:61" ht="15" x14ac:dyDescent="0.2">
      <c r="C93" s="240"/>
      <c r="D93" s="486" t="s">
        <v>212</v>
      </c>
      <c r="E93" s="486"/>
      <c r="F93" s="486"/>
      <c r="G93" s="486"/>
      <c r="H93" s="486"/>
      <c r="I93" s="486"/>
      <c r="J93" s="486"/>
      <c r="K93" s="486"/>
      <c r="L93" s="486"/>
      <c r="M93" s="221"/>
      <c r="N93" s="221"/>
      <c r="O93" s="221"/>
      <c r="P93" s="278"/>
      <c r="R93" s="310" t="s">
        <v>391</v>
      </c>
      <c r="S93">
        <f t="shared" si="1"/>
        <v>0</v>
      </c>
      <c r="U93" s="7">
        <v>17</v>
      </c>
      <c r="V93" s="7" t="s">
        <v>30</v>
      </c>
      <c r="X93">
        <v>6</v>
      </c>
      <c r="Y93" s="426" t="s">
        <v>375</v>
      </c>
      <c r="Z93" s="426"/>
      <c r="AA93" s="426"/>
      <c r="AB93" s="21" t="e">
        <f>Y80</f>
        <v>#VALUE!</v>
      </c>
      <c r="BB93">
        <v>2</v>
      </c>
      <c r="BC93" s="126" t="s">
        <v>173</v>
      </c>
      <c r="BD93" s="126"/>
      <c r="BE93" s="126"/>
      <c r="BH93" s="308" t="str">
        <f>IF(AND(BG86&lt;BH86,BH86&lt;BI86),"ECTOMORFO-ENDOMORFO","")</f>
        <v/>
      </c>
    </row>
    <row r="94" spans="3:61" ht="15" x14ac:dyDescent="0.2">
      <c r="C94" s="240"/>
      <c r="D94" s="377" t="s">
        <v>151</v>
      </c>
      <c r="E94" s="377"/>
      <c r="F94" s="377"/>
      <c r="G94" s="472"/>
      <c r="H94" s="472"/>
      <c r="I94" s="221"/>
      <c r="J94" s="307" t="s">
        <v>154</v>
      </c>
      <c r="K94" s="472"/>
      <c r="L94" s="472"/>
      <c r="M94" s="221"/>
      <c r="N94" s="221"/>
      <c r="O94" s="221"/>
      <c r="P94" s="278"/>
      <c r="U94" s="7">
        <v>18.5</v>
      </c>
      <c r="V94" s="7" t="s">
        <v>31</v>
      </c>
      <c r="X94">
        <v>7</v>
      </c>
      <c r="Y94" s="426" t="s">
        <v>376</v>
      </c>
      <c r="Z94" s="426"/>
      <c r="AA94" s="426"/>
      <c r="AB94">
        <f>Y81</f>
        <v>10.833600000000001</v>
      </c>
      <c r="BB94">
        <v>3</v>
      </c>
      <c r="BC94" s="126" t="s">
        <v>174</v>
      </c>
      <c r="BD94" s="126"/>
      <c r="BE94" s="126"/>
    </row>
    <row r="95" spans="3:61" ht="15" x14ac:dyDescent="0.2">
      <c r="C95" s="240"/>
      <c r="D95" s="377" t="s">
        <v>242</v>
      </c>
      <c r="E95" s="377"/>
      <c r="F95" s="377"/>
      <c r="G95" s="472"/>
      <c r="H95" s="472"/>
      <c r="I95" s="221"/>
      <c r="J95" s="221"/>
      <c r="K95" s="221"/>
      <c r="L95" s="221"/>
      <c r="M95" s="221"/>
      <c r="N95" s="221"/>
      <c r="O95" s="221"/>
      <c r="P95" s="278"/>
      <c r="U95" s="7">
        <v>24.5</v>
      </c>
      <c r="V95" s="7" t="s">
        <v>32</v>
      </c>
      <c r="X95">
        <v>8</v>
      </c>
      <c r="Y95" s="426" t="s">
        <v>370</v>
      </c>
      <c r="Z95" s="426"/>
      <c r="AA95" s="426"/>
      <c r="AB95" s="21" t="e">
        <f>AA177</f>
        <v>#NUM!</v>
      </c>
      <c r="BB95">
        <v>4</v>
      </c>
      <c r="BC95" s="126" t="s">
        <v>175</v>
      </c>
      <c r="BD95" s="126"/>
      <c r="BE95" s="126"/>
      <c r="BH95" s="79" t="str">
        <f>IF(AND(BG86&gt;BH86,BH86=BI86),"Endomorfo","-")</f>
        <v>Endomorfo</v>
      </c>
    </row>
    <row r="96" spans="3:61" ht="15" x14ac:dyDescent="0.2">
      <c r="C96" s="240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78"/>
      <c r="S96" t="str">
        <f>L101</f>
        <v>(informe peso e altura)</v>
      </c>
      <c r="U96" s="7">
        <v>30</v>
      </c>
      <c r="V96" s="7" t="s">
        <v>33</v>
      </c>
      <c r="X96">
        <v>9</v>
      </c>
      <c r="Y96" s="426" t="s">
        <v>386</v>
      </c>
      <c r="Z96" s="426"/>
      <c r="AA96" s="426"/>
      <c r="AB96" s="21" t="e">
        <f>Y52</f>
        <v>#VALUE!</v>
      </c>
      <c r="BB96">
        <v>5</v>
      </c>
      <c r="BC96" s="126" t="s">
        <v>176</v>
      </c>
      <c r="BD96" s="126"/>
      <c r="BE96" s="126"/>
    </row>
    <row r="97" spans="3:61" ht="15" x14ac:dyDescent="0.2">
      <c r="C97" s="240"/>
      <c r="D97" s="486" t="s">
        <v>25</v>
      </c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221"/>
      <c r="P97" s="278"/>
      <c r="U97" s="7">
        <v>35</v>
      </c>
      <c r="V97" s="7" t="s">
        <v>34</v>
      </c>
      <c r="BB97">
        <v>6</v>
      </c>
      <c r="BC97" s="126" t="s">
        <v>177</v>
      </c>
      <c r="BD97" s="126"/>
      <c r="BE97" s="126"/>
    </row>
    <row r="98" spans="3:61" ht="15" x14ac:dyDescent="0.2">
      <c r="C98" s="240"/>
      <c r="D98" s="462" t="s">
        <v>120</v>
      </c>
      <c r="E98" s="462"/>
      <c r="F98" s="251" t="str">
        <f>IF(E75="","-",VLOOKUP($E$75,tbGC6[[nome]:[resultado]],2,FALSE))</f>
        <v>-</v>
      </c>
      <c r="G98" s="221"/>
      <c r="H98" s="462" t="s">
        <v>364</v>
      </c>
      <c r="I98" s="462"/>
      <c r="J98" s="252" t="str">
        <f>IF(F72="","-",IF(L9="feminino",F72*0.209,F72*0.241))</f>
        <v>-</v>
      </c>
      <c r="K98" s="221"/>
      <c r="L98" s="355" t="s">
        <v>366</v>
      </c>
      <c r="M98" s="355"/>
      <c r="N98" s="355"/>
      <c r="O98" s="221"/>
      <c r="P98" s="278"/>
      <c r="U98" s="7"/>
      <c r="V98" s="7"/>
      <c r="BB98">
        <v>7</v>
      </c>
      <c r="BC98" s="126" t="s">
        <v>178</v>
      </c>
      <c r="BD98" s="126"/>
      <c r="BE98" s="126"/>
      <c r="BI98" s="71"/>
    </row>
    <row r="99" spans="3:61" ht="15" x14ac:dyDescent="0.2">
      <c r="C99" s="240"/>
      <c r="D99" s="462" t="s">
        <v>361</v>
      </c>
      <c r="E99" s="462"/>
      <c r="F99" s="252" t="str">
        <f>IF(F72=0,"-",(F72-F100))</f>
        <v>-</v>
      </c>
      <c r="G99" s="221"/>
      <c r="H99" s="462" t="s">
        <v>365</v>
      </c>
      <c r="I99" s="462"/>
      <c r="J99" s="252" t="str">
        <f>IF(J72="","-",3.02*(J72^2*T113*T114*400)^0.712)</f>
        <v>-</v>
      </c>
      <c r="K99" s="221"/>
      <c r="L99" s="499" t="str">
        <f>IF(F98="-","-",AU258)</f>
        <v>-</v>
      </c>
      <c r="M99" s="500"/>
      <c r="N99" s="501"/>
      <c r="O99" s="221"/>
      <c r="P99" s="278"/>
      <c r="U99" s="7">
        <v>40</v>
      </c>
      <c r="V99" s="7" t="s">
        <v>35</v>
      </c>
      <c r="BB99">
        <v>8</v>
      </c>
      <c r="BC99" s="126" t="s">
        <v>179</v>
      </c>
      <c r="BD99" s="126"/>
      <c r="BE99" s="126"/>
    </row>
    <row r="100" spans="3:61" ht="15" x14ac:dyDescent="0.2">
      <c r="C100" s="359" t="s">
        <v>362</v>
      </c>
      <c r="D100" s="360"/>
      <c r="E100" s="361"/>
      <c r="F100" s="252" t="str">
        <f>IF(F72=0,"-",(F72-U107))</f>
        <v>-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78"/>
      <c r="U100" s="7"/>
      <c r="V100" s="7"/>
      <c r="BB100">
        <v>9</v>
      </c>
      <c r="BC100" s="126" t="s">
        <v>180</v>
      </c>
      <c r="BD100" s="126"/>
      <c r="BE100" s="126"/>
    </row>
    <row r="101" spans="3:61" ht="15" x14ac:dyDescent="0.2">
      <c r="C101" s="240"/>
      <c r="D101" s="462" t="s">
        <v>363</v>
      </c>
      <c r="E101" s="462"/>
      <c r="F101" s="252" t="str">
        <f>IF(F72="","-",F72-(F99+J98+J99))</f>
        <v>-</v>
      </c>
      <c r="G101" s="253"/>
      <c r="H101" s="462" t="s">
        <v>26</v>
      </c>
      <c r="I101" s="462"/>
      <c r="J101" s="254" t="str">
        <f>IF(J72="","-",'Avaliação Física 2'!DZ11)</f>
        <v>-</v>
      </c>
      <c r="K101" s="221"/>
      <c r="L101" s="461" t="str">
        <f>IF(J72&gt;0,VLOOKUP(J101,AUX_IMC_Classificação34[],2,TRUE),"(informe peso e altura)")</f>
        <v>(informe peso e altura)</v>
      </c>
      <c r="M101" s="461"/>
      <c r="N101" s="461"/>
      <c r="O101" s="221"/>
      <c r="P101" s="278"/>
      <c r="BB101">
        <v>10</v>
      </c>
      <c r="BC101" s="126" t="s">
        <v>181</v>
      </c>
      <c r="BD101" s="126"/>
      <c r="BE101" s="126"/>
    </row>
    <row r="102" spans="3:61" ht="15" x14ac:dyDescent="0.2">
      <c r="C102" s="240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78"/>
      <c r="T102" t="s">
        <v>276</v>
      </c>
      <c r="U102">
        <f>J72*100</f>
        <v>0</v>
      </c>
      <c r="BB102">
        <v>11</v>
      </c>
      <c r="BC102" s="126" t="s">
        <v>182</v>
      </c>
      <c r="BD102" s="126"/>
      <c r="BE102" s="126"/>
    </row>
    <row r="103" spans="3:61" ht="15" x14ac:dyDescent="0.2">
      <c r="C103" s="240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78"/>
      <c r="BB103">
        <v>12</v>
      </c>
      <c r="BC103" s="126" t="s">
        <v>183</v>
      </c>
      <c r="BD103" s="126"/>
      <c r="BE103" s="126"/>
    </row>
    <row r="104" spans="3:61" ht="15" x14ac:dyDescent="0.2">
      <c r="C104" s="240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78"/>
      <c r="BB104">
        <v>13</v>
      </c>
      <c r="BC104" s="126" t="s">
        <v>184</v>
      </c>
      <c r="BD104" s="126"/>
      <c r="BE104" s="126"/>
    </row>
    <row r="105" spans="3:61" ht="15" x14ac:dyDescent="0.2">
      <c r="C105" s="240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78"/>
    </row>
    <row r="106" spans="3:61" ht="15" x14ac:dyDescent="0.2">
      <c r="C106" s="240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78"/>
      <c r="X106" t="s">
        <v>271</v>
      </c>
      <c r="Y106" t="e">
        <f>1.17136-((LOG10(Y35))*0.06706)</f>
        <v>#NUM!</v>
      </c>
    </row>
    <row r="107" spans="3:61" ht="15" x14ac:dyDescent="0.2">
      <c r="C107" s="240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78"/>
      <c r="U107" s="179" t="e">
        <f>F72*F98%</f>
        <v>#VALUE!</v>
      </c>
    </row>
    <row r="108" spans="3:61" ht="15" x14ac:dyDescent="0.2">
      <c r="C108" s="240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78"/>
      <c r="X108" t="s">
        <v>272</v>
      </c>
      <c r="Y108" t="e">
        <f>1.1665-((LOG10(Y38))*0.07063)</f>
        <v>#NUM!</v>
      </c>
    </row>
    <row r="109" spans="3:61" ht="15" x14ac:dyDescent="0.2">
      <c r="C109" s="240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78"/>
    </row>
    <row r="110" spans="3:61" ht="15" x14ac:dyDescent="0.2">
      <c r="C110" s="240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78"/>
    </row>
    <row r="111" spans="3:61" ht="15" x14ac:dyDescent="0.2">
      <c r="C111" s="240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78"/>
    </row>
    <row r="112" spans="3:61" ht="15" x14ac:dyDescent="0.2">
      <c r="C112" s="240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78"/>
    </row>
    <row r="113" spans="3:28" ht="15" x14ac:dyDescent="0.2">
      <c r="C113" s="240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78"/>
      <c r="S113">
        <f>K94</f>
        <v>0</v>
      </c>
      <c r="T113">
        <f>S113/100</f>
        <v>0</v>
      </c>
    </row>
    <row r="114" spans="3:28" ht="15" x14ac:dyDescent="0.2">
      <c r="C114" s="241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80"/>
      <c r="S114">
        <f>G95</f>
        <v>0</v>
      </c>
      <c r="T114">
        <f>S114/100</f>
        <v>0</v>
      </c>
    </row>
    <row r="115" spans="3:28" ht="15" x14ac:dyDescent="0.2"/>
    <row r="116" spans="3:28" ht="15" x14ac:dyDescent="0.2">
      <c r="C116" s="362" t="s">
        <v>218</v>
      </c>
      <c r="D116" s="362"/>
      <c r="E116" s="362"/>
      <c r="F116" s="362"/>
      <c r="G116" s="362"/>
      <c r="H116" s="362"/>
      <c r="I116" s="362"/>
      <c r="J116" s="362" t="s">
        <v>253</v>
      </c>
      <c r="K116" s="362"/>
      <c r="L116" s="362"/>
      <c r="M116" s="362"/>
      <c r="N116" s="362"/>
      <c r="O116" s="362"/>
      <c r="P116" s="362"/>
      <c r="AB116" t="s">
        <v>240</v>
      </c>
    </row>
    <row r="117" spans="3:28" ht="4.9000000000000004" customHeight="1" x14ac:dyDescent="0.3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</row>
    <row r="118" spans="3:28" ht="15" x14ac:dyDescent="0.2">
      <c r="C118" s="238"/>
      <c r="D118" s="405" t="s">
        <v>220</v>
      </c>
      <c r="E118" s="405"/>
      <c r="F118" s="239" t="str">
        <f>IF(L84="","-",S90)</f>
        <v>-</v>
      </c>
      <c r="G118" s="463" t="str">
        <f>IF(F118&gt;=1.5,"Diferença significativa",IF(F118&lt;=-1.5,"Diferença significativa","Não Significativa"))</f>
        <v>Diferença significativa</v>
      </c>
      <c r="H118" s="464"/>
      <c r="I118" s="233"/>
      <c r="J118" s="358" t="s">
        <v>380</v>
      </c>
      <c r="K118" s="358"/>
      <c r="L118" s="358"/>
      <c r="M118" s="358"/>
      <c r="N118" s="358"/>
      <c r="O118" s="358"/>
      <c r="P118" s="221"/>
      <c r="W118" s="116">
        <v>3</v>
      </c>
      <c r="X118" s="117" t="s">
        <v>233</v>
      </c>
      <c r="Y118" s="118"/>
      <c r="Z118" s="118"/>
      <c r="AB118" s="21" t="e">
        <f>(J119*(170.18/(100*J72))-24.78)/4.31</f>
        <v>#DIV/0!</v>
      </c>
    </row>
    <row r="119" spans="3:28" ht="15" x14ac:dyDescent="0.2">
      <c r="C119" s="240"/>
      <c r="D119" s="406" t="s">
        <v>219</v>
      </c>
      <c r="E119" s="406"/>
      <c r="F119" s="234" t="str">
        <f>IF(L85="","-",S91)</f>
        <v>-</v>
      </c>
      <c r="G119" s="465" t="str">
        <f>IF(F119&gt;=1.5,"Diferença significativa",IF(F119&lt;=-1.5,"Diferença significativa","Não Significativa"))</f>
        <v>Diferença significativa</v>
      </c>
      <c r="H119" s="466"/>
      <c r="I119" s="233"/>
      <c r="J119" s="236">
        <f>J84-(3.1415*F78/10)</f>
        <v>0</v>
      </c>
      <c r="K119" s="235">
        <f t="shared" ref="K119:K121" si="2">IF(G119="Não significativa",0,1)</f>
        <v>1</v>
      </c>
      <c r="L119" s="469" t="str">
        <f>IF(J84=0,"-",IF(J84&gt;0,IF(AB118&gt;3,X118,IF(AB118&gt;2,X119,IF(AB118&gt;1,X120,IF(AB118&gt;-1,X121,IF(AB118&gt;-2,X122,IF(AB118&gt;-3,X123,IF(AB118&lt;-3,X124)))))))))</f>
        <v>-</v>
      </c>
      <c r="M119" s="470"/>
      <c r="N119" s="470"/>
      <c r="O119" s="471"/>
      <c r="P119" s="221"/>
      <c r="T119" s="497" t="s">
        <v>369</v>
      </c>
      <c r="U119" s="497"/>
      <c r="W119" s="116">
        <v>2</v>
      </c>
      <c r="X119" s="117" t="s">
        <v>234</v>
      </c>
      <c r="Y119" s="118"/>
      <c r="Z119" s="118"/>
    </row>
    <row r="120" spans="3:28" ht="15.75" x14ac:dyDescent="0.2">
      <c r="C120" s="240"/>
      <c r="D120" s="406" t="s">
        <v>221</v>
      </c>
      <c r="E120" s="406"/>
      <c r="F120" s="234" t="str">
        <f>IF(L86="","-",S92)</f>
        <v>-</v>
      </c>
      <c r="G120" s="465" t="str">
        <f>IF(F120&gt;=1.5,"Diferença significativa",IF(F120&lt;=-1.5,"Diferença significativa","Não Significativa"))</f>
        <v>Diferença significativa</v>
      </c>
      <c r="H120" s="466"/>
      <c r="I120" s="233"/>
      <c r="J120" s="360" t="s">
        <v>254</v>
      </c>
      <c r="K120" s="360"/>
      <c r="L120" s="360"/>
      <c r="M120" s="360"/>
      <c r="N120" s="360"/>
      <c r="O120" s="360"/>
      <c r="P120" s="360"/>
      <c r="T120">
        <f>IF(L9="Feminino",0.61*(F78+N79)+5.1,0.735*(F78+N79)+1)</f>
        <v>1</v>
      </c>
      <c r="W120" s="116">
        <v>1</v>
      </c>
      <c r="X120" s="117" t="s">
        <v>235</v>
      </c>
      <c r="Y120" s="118"/>
      <c r="Z120" s="118"/>
      <c r="AB120" t="s">
        <v>241</v>
      </c>
    </row>
    <row r="121" spans="3:28" ht="15" x14ac:dyDescent="0.2">
      <c r="C121" s="241"/>
      <c r="D121" s="407" t="s">
        <v>222</v>
      </c>
      <c r="E121" s="407"/>
      <c r="F121" s="242" t="str">
        <f>IF(L87="","-",S93)</f>
        <v>-</v>
      </c>
      <c r="G121" s="467" t="str">
        <f>IF(F121&gt;=1.5,"Diferença significativa",IF(F121&lt;=-1.5,"Diferença significativa","Não Significativa"))</f>
        <v>Diferença significativa</v>
      </c>
      <c r="H121" s="468"/>
      <c r="I121" s="233"/>
      <c r="J121" s="237">
        <f>0.649*((J86-3.1415*(N78/10))^2-(0.3-G95)^2)</f>
        <v>-5.8409999999999997E-2</v>
      </c>
      <c r="K121" s="235">
        <f t="shared" si="2"/>
        <v>1</v>
      </c>
      <c r="L121" s="423" t="str">
        <f>IF(J86=0,"-",IF(J86&gt;0,IF(AB121&gt;3,X118,IF(AB121&gt;2,X119,IF(AB121&gt;1,X120,IF(AB121&gt;-1,X121,IF(AB121&gt;-2,X122,IF(AB121&gt;-3,X123,IF(AB121&lt;-3,X124)))))))))</f>
        <v>-</v>
      </c>
      <c r="M121" s="424"/>
      <c r="N121" s="424"/>
      <c r="O121" s="425"/>
      <c r="P121" s="221"/>
      <c r="W121" s="116">
        <v>0</v>
      </c>
      <c r="X121" s="117" t="s">
        <v>236</v>
      </c>
      <c r="Y121" s="118"/>
      <c r="Z121" s="118"/>
      <c r="AB121" s="21" t="e">
        <f>(J121*(170.18/(100*J72))-1242.6)/210.9</f>
        <v>#DIV/0!</v>
      </c>
    </row>
    <row r="122" spans="3:28" ht="15" x14ac:dyDescent="0.2">
      <c r="W122" s="116">
        <v>-1</v>
      </c>
      <c r="X122" s="117" t="s">
        <v>237</v>
      </c>
      <c r="Y122" s="118"/>
      <c r="Z122" s="118"/>
    </row>
    <row r="123" spans="3:28" ht="14.45" hidden="1" customHeight="1" x14ac:dyDescent="0.2">
      <c r="C123" s="92"/>
      <c r="W123" s="116">
        <v>-2</v>
      </c>
      <c r="X123" s="117" t="s">
        <v>238</v>
      </c>
      <c r="Y123" s="118"/>
      <c r="Z123" s="118"/>
    </row>
    <row r="124" spans="3:28" ht="14.45" hidden="1" customHeight="1" x14ac:dyDescent="0.2">
      <c r="F124" s="314"/>
      <c r="H124" s="314"/>
      <c r="W124" s="116">
        <v>-3</v>
      </c>
      <c r="X124" s="117" t="s">
        <v>239</v>
      </c>
      <c r="Y124" s="118"/>
      <c r="Z124" s="118"/>
    </row>
    <row r="125" spans="3:28" ht="14.45" hidden="1" customHeight="1" x14ac:dyDescent="0.2">
      <c r="D125" s="426"/>
      <c r="E125" s="426"/>
      <c r="F125" s="314"/>
      <c r="H125" s="314"/>
      <c r="J125" s="426"/>
      <c r="K125" s="426"/>
      <c r="M125" s="457"/>
      <c r="N125" s="457"/>
      <c r="S125" s="314"/>
    </row>
    <row r="126" spans="3:28" ht="14.45" hidden="1" customHeight="1" x14ac:dyDescent="0.2">
      <c r="T126" s="426"/>
      <c r="U126" s="426"/>
      <c r="V126" s="426"/>
    </row>
    <row r="127" spans="3:28" ht="14.45" hidden="1" customHeight="1" x14ac:dyDescent="0.2"/>
    <row r="128" spans="3:28" ht="15" hidden="1" customHeight="1" x14ac:dyDescent="0.2">
      <c r="T128" s="310"/>
      <c r="U128" s="310"/>
      <c r="V128" s="310"/>
      <c r="W128" s="119"/>
      <c r="X128" s="119"/>
    </row>
    <row r="129" spans="19:24" ht="15" hidden="1" customHeight="1" x14ac:dyDescent="0.2">
      <c r="T129" s="310"/>
      <c r="U129" s="310"/>
      <c r="V129" s="310"/>
      <c r="W129" s="119"/>
      <c r="X129" s="119"/>
    </row>
    <row r="130" spans="19:24" ht="15" hidden="1" customHeight="1" x14ac:dyDescent="0.2">
      <c r="S130" s="314"/>
      <c r="T130" s="310"/>
      <c r="U130" s="310"/>
      <c r="V130" s="310"/>
      <c r="W130" s="119"/>
      <c r="X130" s="119"/>
    </row>
    <row r="131" spans="19:24" ht="14.45" hidden="1" customHeight="1" x14ac:dyDescent="0.2">
      <c r="T131" s="310"/>
      <c r="U131" s="310"/>
      <c r="V131" s="310"/>
      <c r="W131" s="119"/>
      <c r="X131" s="119"/>
    </row>
    <row r="132" spans="19:24" ht="14.45" hidden="1" customHeight="1" x14ac:dyDescent="0.2">
      <c r="T132" s="310"/>
      <c r="U132" s="310"/>
      <c r="V132" s="310"/>
      <c r="W132" s="119"/>
      <c r="X132" s="119"/>
    </row>
    <row r="133" spans="19:24" ht="14.45" hidden="1" customHeight="1" x14ac:dyDescent="0.2">
      <c r="T133" s="310"/>
      <c r="U133" s="310"/>
      <c r="V133" s="310"/>
      <c r="W133" s="119"/>
      <c r="X133" s="119"/>
    </row>
    <row r="134" spans="19:24" ht="14.45" hidden="1" customHeight="1" x14ac:dyDescent="0.2">
      <c r="S134" s="314"/>
      <c r="T134" s="310"/>
      <c r="U134" s="310"/>
      <c r="V134" s="310"/>
      <c r="W134" s="119"/>
      <c r="X134" s="119"/>
    </row>
    <row r="135" spans="19:24" ht="14.45" hidden="1" customHeight="1" x14ac:dyDescent="0.2">
      <c r="T135" s="310"/>
      <c r="U135" s="310"/>
      <c r="V135" s="310"/>
      <c r="W135" s="119"/>
      <c r="X135" s="119"/>
    </row>
    <row r="136" spans="19:24" ht="14.45" hidden="1" customHeight="1" x14ac:dyDescent="0.2">
      <c r="S136" s="73"/>
      <c r="T136" s="310"/>
      <c r="U136" s="310"/>
      <c r="V136" s="310"/>
      <c r="W136" s="119"/>
      <c r="X136" s="119"/>
    </row>
    <row r="137" spans="19:24" ht="15" hidden="1" customHeight="1" x14ac:dyDescent="0.2">
      <c r="T137" s="310"/>
      <c r="U137" s="310"/>
      <c r="V137" s="310"/>
      <c r="W137" s="119"/>
      <c r="X137" s="119"/>
    </row>
    <row r="138" spans="19:24" ht="15" hidden="1" x14ac:dyDescent="0.2">
      <c r="W138" s="120"/>
      <c r="X138" s="120"/>
    </row>
    <row r="139" spans="19:24" ht="15" hidden="1" x14ac:dyDescent="0.2"/>
    <row r="140" spans="19:24" ht="15" hidden="1" x14ac:dyDescent="0.2"/>
    <row r="141" spans="19:24" ht="15" hidden="1" x14ac:dyDescent="0.2"/>
    <row r="142" spans="19:24" ht="15" hidden="1" x14ac:dyDescent="0.2"/>
    <row r="143" spans="19:24" ht="15" hidden="1" x14ac:dyDescent="0.2"/>
    <row r="144" spans="19:24" ht="15" hidden="1" x14ac:dyDescent="0.2"/>
    <row r="145" spans="3:28" ht="15" hidden="1" x14ac:dyDescent="0.2"/>
    <row r="146" spans="3:28" ht="15" hidden="1" x14ac:dyDescent="0.2"/>
    <row r="147" spans="3:28" ht="6" hidden="1" customHeight="1" x14ac:dyDescent="0.2"/>
    <row r="148" spans="3:28" ht="14.45" customHeight="1" x14ac:dyDescent="0.3">
      <c r="C148" s="375" t="s">
        <v>211</v>
      </c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X148" s="314" t="s">
        <v>273</v>
      </c>
      <c r="Y148" s="126" t="s">
        <v>274</v>
      </c>
      <c r="Z148" t="s">
        <v>138</v>
      </c>
      <c r="AA148" s="126"/>
    </row>
    <row r="149" spans="3:28" ht="14.45" customHeight="1" x14ac:dyDescent="0.2">
      <c r="C149" s="240"/>
      <c r="D149" s="221"/>
      <c r="E149" s="221"/>
      <c r="F149" s="221"/>
      <c r="G149" s="221"/>
      <c r="H149" s="221"/>
      <c r="I149" s="278"/>
      <c r="J149" s="484" t="s">
        <v>252</v>
      </c>
      <c r="K149" s="485"/>
      <c r="L149" s="485"/>
      <c r="M149" s="485"/>
      <c r="N149" s="485"/>
      <c r="O149" s="485"/>
      <c r="P149" s="485"/>
      <c r="X149">
        <v>1</v>
      </c>
      <c r="Y149" s="126" t="s">
        <v>258</v>
      </c>
      <c r="Z149" s="21">
        <f t="shared" ref="Z149:Z156" si="3">AB88</f>
        <v>5.7830000000000004</v>
      </c>
      <c r="AA149" s="126"/>
    </row>
    <row r="150" spans="3:28" ht="15" x14ac:dyDescent="0.2">
      <c r="C150" s="240"/>
      <c r="D150" s="221"/>
      <c r="E150" s="221"/>
      <c r="F150" s="355" t="str">
        <f>IF($G$95="","",'Avaliação Física 2'!AO30)</f>
        <v/>
      </c>
      <c r="G150" s="355"/>
      <c r="H150" s="355"/>
      <c r="I150" s="278"/>
      <c r="J150" s="484"/>
      <c r="K150" s="485"/>
      <c r="L150" s="485"/>
      <c r="M150" s="485"/>
      <c r="N150" s="485"/>
      <c r="O150" s="485"/>
      <c r="P150" s="485"/>
      <c r="S150" s="126"/>
      <c r="T150" s="126" t="s">
        <v>382</v>
      </c>
      <c r="X150">
        <v>2</v>
      </c>
      <c r="Y150" s="126" t="s">
        <v>372</v>
      </c>
      <c r="Z150" s="21" t="e">
        <f t="shared" si="3"/>
        <v>#VALUE!</v>
      </c>
      <c r="AA150" s="126"/>
    </row>
    <row r="151" spans="3:28" ht="15" x14ac:dyDescent="0.2">
      <c r="C151" s="240"/>
      <c r="D151" s="221"/>
      <c r="E151" s="221"/>
      <c r="F151" s="355" t="str">
        <f>IF($G$95="","",'Avaliação Física 2'!AO31)</f>
        <v/>
      </c>
      <c r="G151" s="355"/>
      <c r="H151" s="355"/>
      <c r="I151" s="278"/>
      <c r="J151" s="484"/>
      <c r="K151" s="485"/>
      <c r="L151" s="485"/>
      <c r="M151" s="485"/>
      <c r="N151" s="485"/>
      <c r="O151" s="485"/>
      <c r="P151" s="485"/>
      <c r="S151" s="75" t="s">
        <v>361</v>
      </c>
      <c r="T151" s="213" t="str">
        <f>F99</f>
        <v>-</v>
      </c>
      <c r="X151">
        <v>3</v>
      </c>
      <c r="Y151" s="126" t="s">
        <v>373</v>
      </c>
      <c r="Z151" s="21" t="e">
        <f t="shared" si="3"/>
        <v>#VALUE!</v>
      </c>
      <c r="AA151" s="126"/>
      <c r="AB151" t="e">
        <f>VLOOKUP($E$75,tbGC6[nome],1,FALSE)</f>
        <v>#N/A</v>
      </c>
    </row>
    <row r="152" spans="3:28" ht="15" x14ac:dyDescent="0.2">
      <c r="C152" s="240"/>
      <c r="D152" s="221"/>
      <c r="E152" s="221"/>
      <c r="F152" s="355" t="str">
        <f>IF($G$95="","",'Avaliação Física 2'!AO32)</f>
        <v/>
      </c>
      <c r="G152" s="355"/>
      <c r="H152" s="355"/>
      <c r="I152" s="278"/>
      <c r="J152" s="484"/>
      <c r="K152" s="485"/>
      <c r="L152" s="485"/>
      <c r="M152" s="485"/>
      <c r="N152" s="485"/>
      <c r="O152" s="485"/>
      <c r="P152" s="485"/>
      <c r="S152" s="75" t="s">
        <v>363</v>
      </c>
      <c r="T152" s="213" t="str">
        <f t="shared" ref="T152" si="4">F101</f>
        <v>-</v>
      </c>
      <c r="X152">
        <v>4</v>
      </c>
      <c r="Y152" s="126" t="s">
        <v>265</v>
      </c>
      <c r="Z152" s="21" t="e">
        <f t="shared" si="3"/>
        <v>#NUM!</v>
      </c>
      <c r="AA152" s="126"/>
    </row>
    <row r="153" spans="3:28" ht="15" x14ac:dyDescent="0.2">
      <c r="C153" s="240"/>
      <c r="D153" s="221"/>
      <c r="E153" s="221"/>
      <c r="F153" s="355" t="str">
        <f>IF($G$95="","",'Avaliação Física 2'!AO33)</f>
        <v/>
      </c>
      <c r="G153" s="355"/>
      <c r="H153" s="355"/>
      <c r="I153" s="278"/>
      <c r="J153" s="484"/>
      <c r="K153" s="485"/>
      <c r="L153" s="485"/>
      <c r="M153" s="485"/>
      <c r="N153" s="485"/>
      <c r="O153" s="485"/>
      <c r="P153" s="485"/>
      <c r="S153" s="75" t="s">
        <v>364</v>
      </c>
      <c r="T153" s="213" t="str">
        <f>J98</f>
        <v>-</v>
      </c>
      <c r="X153">
        <v>5</v>
      </c>
      <c r="Y153" s="126" t="s">
        <v>374</v>
      </c>
      <c r="Z153" s="21">
        <f t="shared" si="3"/>
        <v>1</v>
      </c>
    </row>
    <row r="154" spans="3:28" ht="15" x14ac:dyDescent="0.2">
      <c r="C154" s="240"/>
      <c r="D154" s="221"/>
      <c r="E154" s="221"/>
      <c r="F154" s="355" t="str">
        <f>IF($G$95="","",'Avaliação Física 2'!AO34)</f>
        <v/>
      </c>
      <c r="G154" s="355"/>
      <c r="H154" s="355"/>
      <c r="I154" s="278"/>
      <c r="J154" s="484"/>
      <c r="K154" s="485"/>
      <c r="L154" s="485"/>
      <c r="M154" s="485"/>
      <c r="N154" s="485"/>
      <c r="O154" s="485"/>
      <c r="P154" s="485"/>
      <c r="S154" s="75" t="s">
        <v>365</v>
      </c>
      <c r="T154" s="213" t="str">
        <f>J99</f>
        <v>-</v>
      </c>
      <c r="X154">
        <v>6</v>
      </c>
      <c r="Y154" s="126" t="s">
        <v>375</v>
      </c>
      <c r="Z154" s="21" t="e">
        <f t="shared" si="3"/>
        <v>#VALUE!</v>
      </c>
    </row>
    <row r="155" spans="3:28" ht="15" x14ac:dyDescent="0.2">
      <c r="C155" s="240"/>
      <c r="D155" s="221"/>
      <c r="E155" s="221"/>
      <c r="F155" s="355" t="str">
        <f>IF($G$95="","",'Avaliação Física 2'!AO35)</f>
        <v/>
      </c>
      <c r="G155" s="355"/>
      <c r="H155" s="355"/>
      <c r="I155" s="278"/>
      <c r="J155" s="484"/>
      <c r="K155" s="485"/>
      <c r="L155" s="485"/>
      <c r="M155" s="485"/>
      <c r="N155" s="485"/>
      <c r="O155" s="485"/>
      <c r="P155" s="485"/>
      <c r="X155">
        <v>7</v>
      </c>
      <c r="Y155" s="126" t="s">
        <v>376</v>
      </c>
      <c r="Z155" s="21">
        <f t="shared" si="3"/>
        <v>10.833600000000001</v>
      </c>
    </row>
    <row r="156" spans="3:28" ht="15" x14ac:dyDescent="0.2">
      <c r="C156" s="240"/>
      <c r="D156" s="221"/>
      <c r="E156" s="221"/>
      <c r="F156" s="355" t="str">
        <f>IF($G$95="","",'Avaliação Física 2'!AO36)</f>
        <v/>
      </c>
      <c r="G156" s="355"/>
      <c r="H156" s="355"/>
      <c r="I156" s="278"/>
      <c r="J156" s="484"/>
      <c r="K156" s="485"/>
      <c r="L156" s="485"/>
      <c r="M156" s="485"/>
      <c r="N156" s="485"/>
      <c r="O156" s="485"/>
      <c r="P156" s="485"/>
      <c r="X156">
        <v>8</v>
      </c>
      <c r="Y156" s="126" t="s">
        <v>384</v>
      </c>
      <c r="Z156" s="21" t="e">
        <f t="shared" si="3"/>
        <v>#NUM!</v>
      </c>
      <c r="AB156" s="21" t="e">
        <f>VLOOKUP($E$75,tbGC6[[nome]:[resultado]],2,FALSE)</f>
        <v>#N/A</v>
      </c>
    </row>
    <row r="157" spans="3:28" ht="15" x14ac:dyDescent="0.2">
      <c r="C157" s="240"/>
      <c r="D157" s="221"/>
      <c r="E157" s="221"/>
      <c r="F157" s="355" t="str">
        <f>IF($G$95="","",'Avaliação Física 2'!AO37)</f>
        <v/>
      </c>
      <c r="G157" s="355"/>
      <c r="H157" s="355"/>
      <c r="I157" s="278"/>
      <c r="J157" s="484"/>
      <c r="K157" s="485"/>
      <c r="L157" s="485"/>
      <c r="M157" s="485"/>
      <c r="N157" s="485"/>
      <c r="O157" s="485"/>
      <c r="P157" s="485"/>
      <c r="T157" t="s">
        <v>383</v>
      </c>
      <c r="X157">
        <v>9</v>
      </c>
      <c r="Y157" s="126" t="s">
        <v>387</v>
      </c>
      <c r="Z157" s="21" t="e">
        <f>AB96</f>
        <v>#VALUE!</v>
      </c>
    </row>
    <row r="158" spans="3:28" ht="15" x14ac:dyDescent="0.2">
      <c r="C158" s="240"/>
      <c r="D158" s="221"/>
      <c r="E158" s="221"/>
      <c r="F158" s="355" t="str">
        <f>IF($G$95="","",'Avaliação Física 2'!AO38)</f>
        <v/>
      </c>
      <c r="G158" s="355"/>
      <c r="H158" s="355"/>
      <c r="I158" s="278"/>
      <c r="J158" s="484"/>
      <c r="K158" s="485"/>
      <c r="L158" s="485"/>
      <c r="M158" s="485"/>
      <c r="N158" s="485"/>
      <c r="O158" s="485"/>
      <c r="P158" s="485"/>
      <c r="S158" s="75" t="s">
        <v>381</v>
      </c>
      <c r="T158" s="266">
        <f>F72</f>
        <v>0</v>
      </c>
    </row>
    <row r="159" spans="3:28" ht="15" x14ac:dyDescent="0.2">
      <c r="C159" s="240"/>
      <c r="D159" s="221"/>
      <c r="E159" s="221"/>
      <c r="F159" s="355" t="str">
        <f>IF($G$95="","",'Avaliação Física 2'!AO39)</f>
        <v/>
      </c>
      <c r="G159" s="355"/>
      <c r="H159" s="355"/>
      <c r="I159" s="278"/>
      <c r="J159" s="484"/>
      <c r="K159" s="485"/>
      <c r="L159" s="485"/>
      <c r="M159" s="485"/>
      <c r="N159" s="485"/>
      <c r="O159" s="485"/>
      <c r="P159" s="485"/>
      <c r="S159" t="s">
        <v>120</v>
      </c>
      <c r="T159" s="265" t="str">
        <f>F98</f>
        <v>-</v>
      </c>
    </row>
    <row r="160" spans="3:28" ht="15" x14ac:dyDescent="0.2">
      <c r="C160" s="240"/>
      <c r="D160" s="221"/>
      <c r="E160" s="221"/>
      <c r="F160" s="355" t="str">
        <f>IF($G$95="","",'Avaliação Física 2'!AO40)</f>
        <v/>
      </c>
      <c r="G160" s="355"/>
      <c r="H160" s="355"/>
      <c r="I160" s="278"/>
      <c r="J160" s="484"/>
      <c r="K160" s="485"/>
      <c r="L160" s="485"/>
      <c r="M160" s="485"/>
      <c r="N160" s="485"/>
      <c r="O160" s="485"/>
      <c r="P160" s="485"/>
      <c r="S160" s="75" t="s">
        <v>362</v>
      </c>
      <c r="T160" s="266" t="str">
        <f>F100</f>
        <v>-</v>
      </c>
      <c r="AB160" t="e">
        <f>VLOOKUP($E$75,tbGC6[[nome]:[resultado]],2,FALSE)</f>
        <v>#N/A</v>
      </c>
    </row>
    <row r="161" spans="3:153" ht="15" x14ac:dyDescent="0.2">
      <c r="C161" s="240"/>
      <c r="D161" s="221"/>
      <c r="E161" s="221"/>
      <c r="F161" s="355" t="str">
        <f>IF($G$95="","",'Avaliação Física 2'!AO41)</f>
        <v/>
      </c>
      <c r="G161" s="355"/>
      <c r="H161" s="355"/>
      <c r="I161" s="278"/>
      <c r="J161" s="484"/>
      <c r="K161" s="485"/>
      <c r="L161" s="485"/>
      <c r="M161" s="485"/>
      <c r="N161" s="485"/>
      <c r="O161" s="485"/>
      <c r="P161" s="485"/>
    </row>
    <row r="162" spans="3:153" ht="15" x14ac:dyDescent="0.2">
      <c r="C162" s="240"/>
      <c r="D162" s="221"/>
      <c r="E162" s="221"/>
      <c r="F162" s="355" t="str">
        <f>IF($G$95="","",'Avaliação Física 2'!AO42)</f>
        <v/>
      </c>
      <c r="G162" s="355"/>
      <c r="H162" s="355"/>
      <c r="I162" s="278"/>
      <c r="J162" s="484"/>
      <c r="K162" s="485"/>
      <c r="L162" s="485"/>
      <c r="M162" s="485"/>
      <c r="N162" s="485"/>
      <c r="O162" s="485"/>
      <c r="P162" s="485"/>
    </row>
    <row r="163" spans="3:153" ht="15" x14ac:dyDescent="0.2">
      <c r="C163" s="241"/>
      <c r="D163" s="279"/>
      <c r="E163" s="279"/>
      <c r="F163" s="279"/>
      <c r="G163" s="279"/>
      <c r="H163" s="279"/>
      <c r="I163" s="280"/>
      <c r="J163" s="484"/>
      <c r="K163" s="485"/>
      <c r="L163" s="485"/>
      <c r="M163" s="485"/>
      <c r="N163" s="485"/>
      <c r="O163" s="485"/>
      <c r="P163" s="485"/>
      <c r="W163" s="214" t="s">
        <v>369</v>
      </c>
    </row>
    <row r="164" spans="3:153" ht="14.45" hidden="1" customHeight="1" x14ac:dyDescent="0.2">
      <c r="C164" s="55"/>
      <c r="D164" s="56"/>
      <c r="E164" s="56"/>
      <c r="F164" s="56"/>
      <c r="G164" s="56"/>
      <c r="H164" s="56"/>
      <c r="I164" s="57"/>
      <c r="J164" s="105"/>
      <c r="K164" s="105"/>
      <c r="L164" s="105"/>
      <c r="M164" s="105"/>
      <c r="N164" s="105"/>
      <c r="O164" s="105"/>
      <c r="P164" s="105"/>
      <c r="Z164" t="s">
        <v>371</v>
      </c>
    </row>
    <row r="165" spans="3:153" ht="4.1500000000000004" customHeight="1" x14ac:dyDescent="0.2">
      <c r="J165" s="105"/>
      <c r="K165" s="105"/>
      <c r="L165" s="105"/>
      <c r="M165" s="105"/>
      <c r="N165" s="105"/>
      <c r="O165" s="105"/>
      <c r="P165" s="105"/>
    </row>
    <row r="166" spans="3:153" ht="4.1500000000000004" hidden="1" customHeight="1" x14ac:dyDescent="0.2">
      <c r="J166" s="105"/>
      <c r="K166" s="105"/>
      <c r="L166" s="105"/>
      <c r="M166" s="105"/>
      <c r="N166" s="105"/>
      <c r="O166" s="105"/>
      <c r="P166" s="105"/>
    </row>
    <row r="167" spans="3:153" ht="4.1500000000000004" hidden="1" customHeight="1" x14ac:dyDescent="0.2">
      <c r="J167" s="105"/>
      <c r="K167" s="105"/>
      <c r="L167" s="105"/>
      <c r="M167" s="105"/>
      <c r="N167" s="105"/>
      <c r="O167" s="105"/>
      <c r="P167" s="105"/>
      <c r="Z167" t="s">
        <v>371</v>
      </c>
    </row>
    <row r="168" spans="3:153" ht="15" x14ac:dyDescent="0.2">
      <c r="C168" s="362" t="s">
        <v>204</v>
      </c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W168">
        <f>IF(L9="Feminino",1.33*(F78+F77)-0.13*(F78+F77)^2-2.5,0.735*(F78+N79)+1)</f>
        <v>1</v>
      </c>
    </row>
    <row r="169" spans="3:153" ht="6" customHeight="1" x14ac:dyDescent="0.3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Z169" s="21">
        <f>((4.95/W168)-4.5)*100</f>
        <v>45.000000000000014</v>
      </c>
    </row>
    <row r="170" spans="3:153" ht="15" x14ac:dyDescent="0.2">
      <c r="C170" s="238"/>
      <c r="D170" s="357" t="s">
        <v>125</v>
      </c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02"/>
    </row>
    <row r="171" spans="3:153" ht="15" x14ac:dyDescent="0.2">
      <c r="C171" s="240"/>
      <c r="D171" s="221" t="s">
        <v>106</v>
      </c>
      <c r="E171" s="306"/>
      <c r="F171" s="221"/>
      <c r="G171" s="306"/>
      <c r="H171" s="221"/>
      <c r="I171" s="306"/>
      <c r="J171" s="221"/>
      <c r="K171" s="354" t="s">
        <v>57</v>
      </c>
      <c r="L171" s="354"/>
      <c r="M171" s="262"/>
      <c r="N171" s="354" t="s">
        <v>58</v>
      </c>
      <c r="O171" s="354"/>
      <c r="P171" s="278"/>
    </row>
    <row r="172" spans="3:153" s="5" customFormat="1" ht="7.15" customHeight="1" x14ac:dyDescent="0.2">
      <c r="C172" s="240"/>
      <c r="D172" s="221"/>
      <c r="E172" s="306"/>
      <c r="F172" s="221"/>
      <c r="G172" s="306"/>
      <c r="H172" s="221"/>
      <c r="I172" s="306"/>
      <c r="J172" s="221"/>
      <c r="K172" s="221"/>
      <c r="L172" s="221"/>
      <c r="M172" s="221"/>
      <c r="N172" s="221"/>
      <c r="O172" s="221"/>
      <c r="P172" s="278"/>
      <c r="X172"/>
      <c r="Y172"/>
      <c r="Z172"/>
      <c r="AE172" s="7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 s="79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 s="79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 s="79"/>
    </row>
    <row r="173" spans="3:153" ht="15" x14ac:dyDescent="0.2">
      <c r="C173" s="240"/>
      <c r="D173" s="221" t="s">
        <v>103</v>
      </c>
      <c r="E173" s="306"/>
      <c r="F173" s="221"/>
      <c r="G173" s="306"/>
      <c r="H173" s="221"/>
      <c r="I173" s="306"/>
      <c r="J173" s="221"/>
      <c r="K173" s="221"/>
      <c r="L173" s="221"/>
      <c r="M173" s="221"/>
      <c r="N173" s="221"/>
      <c r="O173" s="221"/>
      <c r="P173" s="278"/>
      <c r="Z173" s="5"/>
    </row>
    <row r="174" spans="3:153" s="5" customFormat="1" ht="7.15" customHeight="1" x14ac:dyDescent="0.2">
      <c r="C174" s="240"/>
      <c r="D174" s="221"/>
      <c r="E174" s="306"/>
      <c r="F174" s="221"/>
      <c r="G174" s="306"/>
      <c r="H174" s="221"/>
      <c r="I174" s="306"/>
      <c r="J174" s="221"/>
      <c r="K174" s="221"/>
      <c r="L174" s="221"/>
      <c r="M174" s="221"/>
      <c r="N174" s="221"/>
      <c r="O174" s="221"/>
      <c r="P174" s="278"/>
      <c r="X174"/>
      <c r="Y174"/>
      <c r="Z174"/>
      <c r="AE174" s="79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 s="79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 s="79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 s="79"/>
    </row>
    <row r="175" spans="3:153" ht="15" x14ac:dyDescent="0.2">
      <c r="C175" s="240"/>
      <c r="D175" s="221" t="s">
        <v>229</v>
      </c>
      <c r="E175" s="306"/>
      <c r="F175" s="221"/>
      <c r="G175" s="306"/>
      <c r="H175" s="221"/>
      <c r="I175" s="306"/>
      <c r="J175" s="221"/>
      <c r="K175" s="221"/>
      <c r="L175" s="221"/>
      <c r="M175" s="221"/>
      <c r="N175" s="221"/>
      <c r="O175" s="221"/>
      <c r="P175" s="278"/>
      <c r="W175" s="214" t="s">
        <v>370</v>
      </c>
      <c r="AA175" t="s">
        <v>371</v>
      </c>
    </row>
    <row r="176" spans="3:153" s="5" customFormat="1" ht="7.15" customHeight="1" x14ac:dyDescent="0.2">
      <c r="C176" s="240"/>
      <c r="D176" s="221"/>
      <c r="E176" s="306"/>
      <c r="F176" s="221"/>
      <c r="G176" s="306"/>
      <c r="H176" s="221"/>
      <c r="I176" s="306"/>
      <c r="J176" s="221"/>
      <c r="K176" s="221"/>
      <c r="L176" s="221"/>
      <c r="M176" s="221"/>
      <c r="N176" s="221"/>
      <c r="O176" s="221"/>
      <c r="P176" s="278"/>
      <c r="AE176" s="7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 s="79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 s="79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 s="79"/>
    </row>
    <row r="177" spans="1:153" ht="15" x14ac:dyDescent="0.2">
      <c r="C177" s="240"/>
      <c r="D177" s="221" t="s">
        <v>105</v>
      </c>
      <c r="E177" s="306"/>
      <c r="F177" s="221"/>
      <c r="G177" s="306"/>
      <c r="H177" s="221"/>
      <c r="I177" s="306"/>
      <c r="J177" s="221"/>
      <c r="K177" s="221"/>
      <c r="L177" s="221"/>
      <c r="M177" s="221"/>
      <c r="N177" s="221"/>
      <c r="O177" s="221"/>
      <c r="P177" s="278"/>
      <c r="W177" s="215" t="e">
        <f>IF(L9="Feminino",1.1567-0.0717*LOG10(F78+F79+F77+J79),1.1765 - 0.0744*LOG10(F78+F79+F77+J79))</f>
        <v>#NUM!</v>
      </c>
      <c r="AA177" s="21" t="e">
        <f>((4.95/W177)-4.5)*100</f>
        <v>#NUM!</v>
      </c>
    </row>
    <row r="178" spans="1:153" s="5" customFormat="1" ht="7.15" customHeight="1" x14ac:dyDescent="0.2">
      <c r="C178" s="240"/>
      <c r="D178" s="221"/>
      <c r="E178" s="306"/>
      <c r="F178" s="221"/>
      <c r="G178" s="306"/>
      <c r="H178" s="221"/>
      <c r="I178" s="306"/>
      <c r="J178" s="221"/>
      <c r="K178" s="221"/>
      <c r="L178" s="221"/>
      <c r="M178" s="221"/>
      <c r="N178" s="221"/>
      <c r="O178" s="221"/>
      <c r="P178" s="278"/>
      <c r="AE178" s="79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 s="79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 s="79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 s="79"/>
    </row>
    <row r="179" spans="1:153" ht="15" x14ac:dyDescent="0.2">
      <c r="C179" s="240"/>
      <c r="D179" s="221" t="s">
        <v>104</v>
      </c>
      <c r="E179" s="306"/>
      <c r="F179" s="221"/>
      <c r="G179" s="306"/>
      <c r="H179" s="221"/>
      <c r="I179" s="306"/>
      <c r="J179" s="221"/>
      <c r="K179" s="221"/>
      <c r="L179" s="221"/>
      <c r="M179" s="221"/>
      <c r="N179" s="221"/>
      <c r="O179" s="221"/>
      <c r="P179" s="278"/>
    </row>
    <row r="180" spans="1:153" s="5" customFormat="1" ht="7.15" customHeight="1" x14ac:dyDescent="0.2">
      <c r="C180" s="240"/>
      <c r="D180" s="221"/>
      <c r="E180" s="306"/>
      <c r="F180" s="221"/>
      <c r="G180" s="306"/>
      <c r="H180" s="221"/>
      <c r="I180" s="306"/>
      <c r="J180" s="221"/>
      <c r="K180" s="221"/>
      <c r="L180" s="221"/>
      <c r="M180" s="221"/>
      <c r="N180" s="221"/>
      <c r="O180" s="221"/>
      <c r="P180" s="278"/>
      <c r="AE180" s="79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 s="79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 s="79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 s="79"/>
    </row>
    <row r="181" spans="1:153" ht="15" x14ac:dyDescent="0.2">
      <c r="C181" s="240"/>
      <c r="D181" s="221" t="s">
        <v>52</v>
      </c>
      <c r="E181" s="306"/>
      <c r="F181" s="221"/>
      <c r="G181" s="306"/>
      <c r="H181" s="221"/>
      <c r="I181" s="306"/>
      <c r="J181" s="221"/>
      <c r="K181" s="221"/>
      <c r="L181" s="221"/>
      <c r="M181" s="221"/>
      <c r="N181" s="221"/>
      <c r="O181" s="221"/>
      <c r="P181" s="278"/>
      <c r="X181" s="215"/>
    </row>
    <row r="182" spans="1:153" s="5" customFormat="1" ht="7.15" customHeight="1" x14ac:dyDescent="0.2">
      <c r="C182" s="240"/>
      <c r="D182" s="221"/>
      <c r="E182" s="306"/>
      <c r="F182" s="221"/>
      <c r="G182" s="306"/>
      <c r="H182" s="221"/>
      <c r="I182" s="306"/>
      <c r="J182" s="221"/>
      <c r="K182" s="221"/>
      <c r="L182" s="221"/>
      <c r="M182" s="221"/>
      <c r="N182" s="221"/>
      <c r="O182" s="221"/>
      <c r="P182" s="278"/>
      <c r="AE182" s="7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 s="79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 s="79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 s="79"/>
    </row>
    <row r="183" spans="1:153" ht="15" x14ac:dyDescent="0.2">
      <c r="C183" s="240"/>
      <c r="D183" s="221" t="s">
        <v>107</v>
      </c>
      <c r="E183" s="306"/>
      <c r="F183" s="221"/>
      <c r="G183" s="306"/>
      <c r="H183" s="221"/>
      <c r="I183" s="306"/>
      <c r="J183" s="221"/>
      <c r="K183" s="221"/>
      <c r="L183" s="221"/>
      <c r="M183" s="221"/>
      <c r="N183" s="221"/>
      <c r="O183" s="221"/>
      <c r="P183" s="278"/>
    </row>
    <row r="184" spans="1:153" ht="7.15" customHeight="1" x14ac:dyDescent="0.2">
      <c r="C184" s="240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78"/>
      <c r="X184" s="5"/>
      <c r="Y184" s="5"/>
      <c r="Z184" s="5"/>
    </row>
    <row r="185" spans="1:153" ht="15" x14ac:dyDescent="0.2">
      <c r="C185" s="240"/>
      <c r="D185" s="221" t="s">
        <v>110</v>
      </c>
      <c r="E185" s="306"/>
      <c r="F185" s="221"/>
      <c r="G185" s="306"/>
      <c r="H185" s="221"/>
      <c r="I185" s="306"/>
      <c r="J185" s="221"/>
      <c r="K185" s="221"/>
      <c r="L185" s="221"/>
      <c r="M185" s="221"/>
      <c r="N185" s="221"/>
      <c r="O185" s="221"/>
      <c r="P185" s="278"/>
    </row>
    <row r="186" spans="1:153" ht="15" x14ac:dyDescent="0.2">
      <c r="C186" s="240"/>
      <c r="D186" s="221"/>
      <c r="E186" s="306"/>
      <c r="F186" s="221"/>
      <c r="G186" s="306"/>
      <c r="H186" s="221"/>
      <c r="I186" s="306"/>
      <c r="J186" s="221"/>
      <c r="K186" s="221"/>
      <c r="L186" s="221"/>
      <c r="M186" s="221"/>
      <c r="N186" s="221"/>
      <c r="O186" s="221"/>
      <c r="P186" s="278"/>
      <c r="X186" s="5"/>
      <c r="Y186" s="5"/>
      <c r="Z186" s="5"/>
    </row>
    <row r="187" spans="1:153" s="5" customFormat="1" ht="11.45" customHeight="1" x14ac:dyDescent="0.2">
      <c r="C187" s="240"/>
      <c r="D187" s="221"/>
      <c r="E187" s="306"/>
      <c r="F187" s="221"/>
      <c r="G187" s="306"/>
      <c r="H187" s="221"/>
      <c r="I187" s="306"/>
      <c r="J187" s="221"/>
      <c r="K187" s="221"/>
      <c r="L187" s="221"/>
      <c r="M187" s="221"/>
      <c r="N187" s="221"/>
      <c r="O187" s="221"/>
      <c r="P187" s="278"/>
      <c r="X187"/>
      <c r="Y187"/>
      <c r="Z187"/>
      <c r="AE187" s="79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 s="79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 s="79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s="79"/>
    </row>
    <row r="188" spans="1:153" ht="15" x14ac:dyDescent="0.2">
      <c r="C188" s="240"/>
      <c r="D188" s="356" t="s">
        <v>124</v>
      </c>
      <c r="E188" s="356"/>
      <c r="F188" s="356"/>
      <c r="G188" s="356"/>
      <c r="H188" s="356"/>
      <c r="I188" s="261"/>
      <c r="J188" s="356" t="s">
        <v>123</v>
      </c>
      <c r="K188" s="356"/>
      <c r="L188" s="356"/>
      <c r="M188" s="356"/>
      <c r="N188" s="356"/>
      <c r="O188" s="356"/>
      <c r="P188" s="303"/>
    </row>
    <row r="189" spans="1:153" ht="15" x14ac:dyDescent="0.2">
      <c r="A189" s="227"/>
      <c r="B189" s="227"/>
      <c r="C189" s="240"/>
      <c r="D189" s="221" t="s">
        <v>50</v>
      </c>
      <c r="E189" s="306"/>
      <c r="F189" s="221"/>
      <c r="G189" s="306"/>
      <c r="H189" s="221"/>
      <c r="I189" s="306"/>
      <c r="J189" s="221" t="s">
        <v>379</v>
      </c>
      <c r="K189" s="306"/>
      <c r="L189" s="221"/>
      <c r="M189" s="221"/>
      <c r="N189" s="355"/>
      <c r="O189" s="355"/>
      <c r="P189" s="278"/>
    </row>
    <row r="190" spans="1:153" s="5" customFormat="1" ht="14.45" customHeight="1" x14ac:dyDescent="0.2">
      <c r="A190" s="227"/>
      <c r="B190" s="227"/>
      <c r="C190" s="240"/>
      <c r="D190" s="221"/>
      <c r="E190" s="306"/>
      <c r="F190" s="221"/>
      <c r="G190" s="306"/>
      <c r="H190" s="221"/>
      <c r="I190" s="306"/>
      <c r="J190" s="221"/>
      <c r="K190" s="306"/>
      <c r="L190" s="221"/>
      <c r="M190" s="221"/>
      <c r="N190" s="221"/>
      <c r="O190" s="221"/>
      <c r="P190" s="278"/>
      <c r="X190"/>
      <c r="Y190"/>
      <c r="Z190"/>
      <c r="AE190" s="79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 s="79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 s="79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 s="79"/>
    </row>
    <row r="191" spans="1:153" ht="15" x14ac:dyDescent="0.2">
      <c r="A191" s="227"/>
      <c r="B191" s="227"/>
      <c r="C191" s="240"/>
      <c r="D191" s="221"/>
      <c r="E191" s="306"/>
      <c r="F191" s="221"/>
      <c r="G191" s="306"/>
      <c r="H191" s="221"/>
      <c r="I191" s="306"/>
      <c r="J191" s="221"/>
      <c r="K191" s="306"/>
      <c r="L191" s="221"/>
      <c r="M191" s="221"/>
      <c r="N191" s="221"/>
      <c r="O191" s="221"/>
      <c r="P191" s="278"/>
      <c r="X191" s="5"/>
      <c r="Y191" s="5"/>
      <c r="Z191" s="5"/>
    </row>
    <row r="192" spans="1:153" s="5" customFormat="1" ht="7.15" customHeight="1" x14ac:dyDescent="0.2">
      <c r="A192" s="227"/>
      <c r="B192" s="227"/>
      <c r="C192" s="240"/>
      <c r="D192" s="221"/>
      <c r="E192" s="306"/>
      <c r="F192" s="221"/>
      <c r="G192" s="306"/>
      <c r="H192" s="221"/>
      <c r="I192" s="306"/>
      <c r="J192" s="221"/>
      <c r="K192" s="221"/>
      <c r="L192" s="221"/>
      <c r="M192" s="221"/>
      <c r="N192" s="221"/>
      <c r="O192" s="221"/>
      <c r="P192" s="278"/>
      <c r="X192"/>
      <c r="Y192"/>
      <c r="Z192"/>
      <c r="AE192" s="79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 s="79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 s="79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s="79"/>
    </row>
    <row r="193" spans="1:153" ht="15" x14ac:dyDescent="0.2">
      <c r="A193" s="227"/>
      <c r="B193" s="227"/>
      <c r="C193" s="240"/>
      <c r="D193" s="221" t="s">
        <v>109</v>
      </c>
      <c r="E193" s="221"/>
      <c r="F193" s="221"/>
      <c r="G193" s="306"/>
      <c r="H193" s="221"/>
      <c r="I193" s="306"/>
      <c r="J193" s="221" t="s">
        <v>114</v>
      </c>
      <c r="K193" s="221"/>
      <c r="L193" s="221"/>
      <c r="M193" s="221"/>
      <c r="N193" s="221"/>
      <c r="O193" s="221"/>
      <c r="P193" s="278"/>
    </row>
    <row r="194" spans="1:153" ht="15" x14ac:dyDescent="0.2">
      <c r="A194" s="227"/>
      <c r="B194" s="227"/>
      <c r="C194" s="240"/>
      <c r="D194" s="221"/>
      <c r="E194" s="306"/>
      <c r="F194" s="221"/>
      <c r="G194" s="306"/>
      <c r="H194" s="221"/>
      <c r="I194" s="306"/>
      <c r="J194" s="221"/>
      <c r="K194" s="221"/>
      <c r="L194" s="221"/>
      <c r="M194" s="221"/>
      <c r="N194" s="221"/>
      <c r="O194" s="221"/>
      <c r="P194" s="278"/>
      <c r="X194" s="5"/>
      <c r="Y194" s="5"/>
      <c r="Z194" s="5"/>
    </row>
    <row r="195" spans="1:153" s="5" customFormat="1" ht="14.45" customHeight="1" x14ac:dyDescent="0.2">
      <c r="A195" s="227"/>
      <c r="B195" s="227"/>
      <c r="C195" s="240"/>
      <c r="D195" s="221"/>
      <c r="E195" s="221"/>
      <c r="F195" s="221"/>
      <c r="G195" s="306"/>
      <c r="H195" s="221"/>
      <c r="I195" s="306"/>
      <c r="J195" s="221"/>
      <c r="K195" s="221"/>
      <c r="L195" s="221"/>
      <c r="M195" s="221"/>
      <c r="N195" s="221"/>
      <c r="O195" s="221"/>
      <c r="P195" s="278"/>
      <c r="X195"/>
      <c r="Y195"/>
      <c r="Z195"/>
      <c r="AE195" s="79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 s="79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 s="79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s="79"/>
    </row>
    <row r="196" spans="1:153" ht="14.45" customHeight="1" x14ac:dyDescent="0.2">
      <c r="A196" s="227"/>
      <c r="B196" s="227"/>
      <c r="C196" s="240"/>
      <c r="D196" s="221"/>
      <c r="E196" s="221"/>
      <c r="F196" s="221"/>
      <c r="G196" s="306"/>
      <c r="H196" s="221"/>
      <c r="I196" s="306"/>
      <c r="J196" s="221"/>
      <c r="K196" s="221"/>
      <c r="L196" s="221"/>
      <c r="M196" s="221"/>
      <c r="N196" s="221"/>
      <c r="O196" s="221"/>
      <c r="P196" s="278"/>
      <c r="X196" s="5"/>
      <c r="Y196" s="5"/>
      <c r="Z196" s="5"/>
    </row>
    <row r="197" spans="1:153" s="5" customFormat="1" ht="7.15" customHeight="1" x14ac:dyDescent="0.2">
      <c r="A197" s="227"/>
      <c r="B197" s="227"/>
      <c r="C197" s="240"/>
      <c r="D197" s="221"/>
      <c r="E197" s="306"/>
      <c r="F197" s="221"/>
      <c r="G197" s="306"/>
      <c r="H197" s="221"/>
      <c r="I197" s="306"/>
      <c r="J197" s="221"/>
      <c r="K197" s="221"/>
      <c r="L197" s="221"/>
      <c r="M197" s="221"/>
      <c r="N197" s="221"/>
      <c r="O197" s="221"/>
      <c r="P197" s="278"/>
      <c r="X197"/>
      <c r="Y197"/>
      <c r="Z197"/>
      <c r="AE197" s="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 s="79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 s="79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s="79"/>
    </row>
    <row r="198" spans="1:153" ht="15" x14ac:dyDescent="0.2">
      <c r="C198" s="240"/>
      <c r="D198" s="221" t="s">
        <v>108</v>
      </c>
      <c r="E198" s="221"/>
      <c r="F198" s="221"/>
      <c r="G198" s="306"/>
      <c r="H198" s="221"/>
      <c r="I198" s="306"/>
      <c r="J198" s="221" t="s">
        <v>112</v>
      </c>
      <c r="K198" s="221"/>
      <c r="L198" s="221"/>
      <c r="M198" s="221"/>
      <c r="N198" s="221"/>
      <c r="O198" s="221"/>
      <c r="P198" s="278"/>
    </row>
    <row r="199" spans="1:153" ht="14.45" customHeight="1" x14ac:dyDescent="0.2">
      <c r="C199" s="240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78"/>
      <c r="X199" s="5"/>
      <c r="Y199" s="5"/>
      <c r="Z199" s="5"/>
    </row>
    <row r="200" spans="1:153" ht="15" x14ac:dyDescent="0.2">
      <c r="C200" s="240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78"/>
    </row>
    <row r="201" spans="1:153" ht="7.15" customHeight="1" x14ac:dyDescent="0.2">
      <c r="C201" s="240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78"/>
      <c r="X201" s="5"/>
      <c r="Y201" s="5"/>
      <c r="Z201" s="5"/>
    </row>
    <row r="202" spans="1:153" ht="15" hidden="1" x14ac:dyDescent="0.2">
      <c r="C202" s="240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78"/>
    </row>
    <row r="203" spans="1:153" ht="7.15" hidden="1" customHeight="1" x14ac:dyDescent="0.2">
      <c r="C203" s="240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78"/>
    </row>
    <row r="204" spans="1:153" ht="15" x14ac:dyDescent="0.2">
      <c r="C204" s="240"/>
      <c r="D204" s="221" t="s">
        <v>115</v>
      </c>
      <c r="E204" s="221"/>
      <c r="F204" s="221"/>
      <c r="G204" s="221"/>
      <c r="H204" s="221"/>
      <c r="I204" s="221"/>
      <c r="J204" s="221" t="s">
        <v>113</v>
      </c>
      <c r="K204" s="221"/>
      <c r="L204" s="221"/>
      <c r="M204" s="221"/>
      <c r="N204" s="221"/>
      <c r="O204" s="221"/>
      <c r="P204" s="278"/>
    </row>
    <row r="205" spans="1:153" ht="15" x14ac:dyDescent="0.2">
      <c r="B205" s="227"/>
      <c r="C205" s="240"/>
      <c r="D205" s="221"/>
      <c r="E205" s="306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78"/>
    </row>
    <row r="206" spans="1:153" ht="14.45" customHeight="1" x14ac:dyDescent="0.2">
      <c r="C206" s="240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78"/>
    </row>
    <row r="207" spans="1:153" ht="7.15" customHeight="1" x14ac:dyDescent="0.2">
      <c r="C207" s="240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303"/>
    </row>
    <row r="208" spans="1:153" ht="15" x14ac:dyDescent="0.2">
      <c r="A208" s="227"/>
      <c r="B208" s="227"/>
      <c r="C208" s="240"/>
      <c r="D208" s="221" t="s">
        <v>111</v>
      </c>
      <c r="E208" s="306"/>
      <c r="F208" s="221"/>
      <c r="G208" s="306"/>
      <c r="H208" s="221"/>
      <c r="I208" s="306"/>
      <c r="J208" s="221"/>
      <c r="K208" s="221"/>
      <c r="L208" s="221"/>
      <c r="M208" s="221"/>
      <c r="N208" s="221"/>
      <c r="O208" s="221"/>
      <c r="P208" s="278"/>
    </row>
    <row r="209" spans="1:153" s="5" customFormat="1" ht="14.45" customHeight="1" x14ac:dyDescent="0.2">
      <c r="A209" s="227"/>
      <c r="B209" s="227"/>
      <c r="C209" s="240"/>
      <c r="D209" s="221"/>
      <c r="E209" s="306"/>
      <c r="F209" s="221"/>
      <c r="G209" s="306"/>
      <c r="H209" s="221"/>
      <c r="I209" s="306"/>
      <c r="J209" s="221"/>
      <c r="K209" s="221"/>
      <c r="L209" s="221"/>
      <c r="M209" s="221"/>
      <c r="N209" s="221"/>
      <c r="O209" s="221"/>
      <c r="P209" s="278"/>
      <c r="X209"/>
      <c r="Y209"/>
      <c r="Z209"/>
      <c r="AE209" s="7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 s="7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 s="7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 s="79"/>
    </row>
    <row r="210" spans="1:153" ht="7.15" customHeight="1" x14ac:dyDescent="0.2">
      <c r="A210" s="227"/>
      <c r="B210" s="227"/>
      <c r="C210" s="240"/>
      <c r="D210" s="221"/>
      <c r="E210" s="306"/>
      <c r="F210" s="221"/>
      <c r="G210" s="306"/>
      <c r="H210" s="221"/>
      <c r="I210" s="306"/>
      <c r="J210" s="221"/>
      <c r="K210" s="221"/>
      <c r="L210" s="221"/>
      <c r="M210" s="221"/>
      <c r="N210" s="221"/>
      <c r="O210" s="221"/>
      <c r="P210" s="278"/>
    </row>
    <row r="211" spans="1:153" s="5" customFormat="1" ht="14.45" customHeight="1" x14ac:dyDescent="0.2">
      <c r="A211" s="227"/>
      <c r="B211" s="227"/>
      <c r="C211" s="240"/>
      <c r="D211" s="221" t="s">
        <v>110</v>
      </c>
      <c r="E211" s="221"/>
      <c r="F211" s="221"/>
      <c r="G211" s="221"/>
      <c r="H211" s="221"/>
      <c r="I211" s="306"/>
      <c r="J211" s="221"/>
      <c r="K211" s="221"/>
      <c r="L211" s="221"/>
      <c r="M211" s="221"/>
      <c r="N211" s="221"/>
      <c r="O211" s="221"/>
      <c r="P211" s="278"/>
      <c r="X211"/>
      <c r="Y211"/>
      <c r="Z211"/>
      <c r="AE211" s="79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 s="79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 s="79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s="79"/>
    </row>
    <row r="212" spans="1:153" ht="15" x14ac:dyDescent="0.2">
      <c r="A212" s="227"/>
      <c r="B212" s="227"/>
      <c r="C212" s="240"/>
      <c r="D212" s="221"/>
      <c r="E212" s="221"/>
      <c r="F212" s="221"/>
      <c r="G212" s="221"/>
      <c r="H212" s="221"/>
      <c r="I212" s="306"/>
      <c r="J212" s="221"/>
      <c r="K212" s="221"/>
      <c r="L212" s="221"/>
      <c r="M212" s="221"/>
      <c r="N212" s="221"/>
      <c r="O212" s="221"/>
      <c r="P212" s="278"/>
    </row>
    <row r="213" spans="1:153" s="5" customFormat="1" ht="7.15" customHeight="1" x14ac:dyDescent="0.2">
      <c r="A213" s="227"/>
      <c r="B213" s="227"/>
      <c r="C213" s="241"/>
      <c r="D213" s="279"/>
      <c r="E213" s="304"/>
      <c r="F213" s="279"/>
      <c r="G213" s="304"/>
      <c r="H213" s="279"/>
      <c r="I213" s="304"/>
      <c r="J213" s="279"/>
      <c r="K213" s="279"/>
      <c r="L213" s="279"/>
      <c r="M213" s="279"/>
      <c r="N213" s="279"/>
      <c r="O213" s="279"/>
      <c r="P213" s="280"/>
      <c r="AE213" s="79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 s="79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 s="79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 s="79"/>
    </row>
    <row r="214" spans="1:153" ht="15" x14ac:dyDescent="0.2">
      <c r="A214" s="227"/>
      <c r="B214" s="227"/>
      <c r="C214" s="120"/>
      <c r="D214" s="106"/>
      <c r="E214" s="106"/>
      <c r="F214" s="106"/>
      <c r="G214" s="106"/>
      <c r="H214" s="106"/>
      <c r="I214" s="309"/>
      <c r="J214" s="106"/>
      <c r="K214" s="106"/>
      <c r="L214" s="106"/>
      <c r="M214" s="106"/>
      <c r="N214" s="106"/>
      <c r="O214" s="106"/>
      <c r="P214" s="106"/>
    </row>
    <row r="215" spans="1:153" ht="15" hidden="1" x14ac:dyDescent="0.2"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X215" s="5"/>
      <c r="Y215" s="5"/>
      <c r="Z215" s="5"/>
    </row>
    <row r="216" spans="1:153" ht="15" hidden="1" x14ac:dyDescent="0.2"/>
    <row r="217" spans="1:153" ht="15" x14ac:dyDescent="0.2">
      <c r="C217" s="362" t="s">
        <v>378</v>
      </c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X217" s="5"/>
      <c r="Y217" s="5"/>
      <c r="Z217" s="5"/>
    </row>
    <row r="218" spans="1:153" ht="14.45" customHeight="1" x14ac:dyDescent="0.2"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44"/>
      <c r="N218" s="219"/>
      <c r="O218" s="219"/>
      <c r="P218" s="219"/>
    </row>
    <row r="219" spans="1:153" ht="15" customHeight="1" x14ac:dyDescent="0.2">
      <c r="C219" s="219"/>
      <c r="D219" s="219"/>
      <c r="E219" s="219"/>
      <c r="F219" s="373">
        <v>1</v>
      </c>
      <c r="G219" s="373"/>
      <c r="H219" s="373">
        <v>2</v>
      </c>
      <c r="I219" s="373"/>
      <c r="J219" s="373">
        <v>3</v>
      </c>
      <c r="K219" s="373"/>
      <c r="L219" s="373">
        <v>4</v>
      </c>
      <c r="M219" s="373"/>
      <c r="N219" s="245" t="s">
        <v>67</v>
      </c>
      <c r="O219" s="219"/>
      <c r="P219" s="219"/>
    </row>
    <row r="220" spans="1:153" ht="15" x14ac:dyDescent="0.2">
      <c r="C220" s="364" t="s">
        <v>69</v>
      </c>
      <c r="D220" s="365"/>
      <c r="E220" s="366"/>
      <c r="F220" s="281"/>
      <c r="G220" s="276"/>
      <c r="H220" s="276"/>
      <c r="I220" s="276"/>
      <c r="J220" s="276"/>
      <c r="K220" s="276"/>
      <c r="L220" s="276"/>
      <c r="M220" s="417"/>
      <c r="N220" s="438"/>
      <c r="O220" s="219"/>
      <c r="P220" s="219"/>
    </row>
    <row r="221" spans="1:153" ht="15" x14ac:dyDescent="0.2">
      <c r="C221" s="367"/>
      <c r="D221" s="368"/>
      <c r="E221" s="369"/>
      <c r="F221" s="247"/>
      <c r="G221" s="221"/>
      <c r="H221" s="221"/>
      <c r="I221" s="221"/>
      <c r="J221" s="221"/>
      <c r="K221" s="221"/>
      <c r="L221" s="221"/>
      <c r="M221" s="363"/>
      <c r="N221" s="439"/>
      <c r="O221" s="219"/>
      <c r="P221" s="219"/>
    </row>
    <row r="222" spans="1:153" ht="15.75" thickBot="1" x14ac:dyDescent="0.25">
      <c r="C222" s="370"/>
      <c r="D222" s="371"/>
      <c r="E222" s="372"/>
      <c r="F222" s="248"/>
      <c r="G222" s="221"/>
      <c r="H222" s="221"/>
      <c r="I222" s="221"/>
      <c r="J222" s="221"/>
      <c r="K222" s="221"/>
      <c r="L222" s="221"/>
      <c r="M222" s="363"/>
      <c r="N222" s="440"/>
      <c r="O222" s="219"/>
      <c r="P222" s="219"/>
    </row>
    <row r="223" spans="1:153" ht="15" x14ac:dyDescent="0.2">
      <c r="C223" s="364" t="s">
        <v>68</v>
      </c>
      <c r="D223" s="365"/>
      <c r="E223" s="366"/>
      <c r="F223" s="246"/>
      <c r="G223" s="221"/>
      <c r="H223" s="221"/>
      <c r="I223" s="221"/>
      <c r="J223" s="221"/>
      <c r="K223" s="221"/>
      <c r="L223" s="221"/>
      <c r="M223" s="363"/>
      <c r="N223" s="438"/>
      <c r="O223" s="219"/>
      <c r="P223" s="219"/>
    </row>
    <row r="224" spans="1:153" ht="15.75" thickBot="1" x14ac:dyDescent="0.25">
      <c r="C224" s="367"/>
      <c r="D224" s="368"/>
      <c r="E224" s="369"/>
      <c r="F224" s="247"/>
      <c r="G224" s="221"/>
      <c r="H224" s="221"/>
      <c r="I224" s="221"/>
      <c r="J224" s="221"/>
      <c r="K224" s="221"/>
      <c r="L224" s="221"/>
      <c r="M224" s="363"/>
      <c r="N224" s="439"/>
      <c r="O224" s="219"/>
      <c r="P224" s="219"/>
    </row>
    <row r="225" spans="3:71" ht="15.75" thickBot="1" x14ac:dyDescent="0.25">
      <c r="C225" s="370"/>
      <c r="D225" s="371"/>
      <c r="E225" s="372"/>
      <c r="F225" s="248"/>
      <c r="G225" s="221"/>
      <c r="H225" s="221"/>
      <c r="I225" s="221"/>
      <c r="J225" s="221"/>
      <c r="K225" s="221"/>
      <c r="L225" s="221"/>
      <c r="M225" s="363"/>
      <c r="N225" s="440"/>
      <c r="O225" s="219"/>
      <c r="P225" s="219"/>
      <c r="AJ225" s="401" t="s">
        <v>278</v>
      </c>
      <c r="AK225" s="402"/>
      <c r="AL225" s="402"/>
      <c r="AM225" s="402"/>
      <c r="AN225" s="402"/>
      <c r="AO225" s="402"/>
      <c r="AP225" s="402"/>
      <c r="AQ225" s="402"/>
      <c r="AR225" s="402"/>
      <c r="AS225" s="402"/>
      <c r="AT225" s="402"/>
      <c r="AU225" s="402"/>
      <c r="AV225" s="402"/>
      <c r="AW225" s="402"/>
      <c r="AX225" s="402"/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3"/>
    </row>
    <row r="226" spans="3:71" ht="15.75" thickBot="1" x14ac:dyDescent="0.25">
      <c r="C226" s="364" t="s">
        <v>70</v>
      </c>
      <c r="D226" s="365"/>
      <c r="E226" s="366"/>
      <c r="F226" s="246"/>
      <c r="G226" s="221"/>
      <c r="H226" s="221"/>
      <c r="I226" s="221"/>
      <c r="J226" s="221"/>
      <c r="K226" s="221"/>
      <c r="L226" s="221"/>
      <c r="M226" s="363"/>
      <c r="N226" s="438"/>
      <c r="O226" s="219"/>
      <c r="P226" s="219"/>
      <c r="AJ226" s="401" t="s">
        <v>279</v>
      </c>
      <c r="AK226" s="402"/>
      <c r="AL226" s="402"/>
      <c r="AM226" s="402"/>
      <c r="AN226" s="402"/>
      <c r="AO226" s="402"/>
      <c r="AP226" s="402" t="s">
        <v>280</v>
      </c>
      <c r="AQ226" s="402"/>
      <c r="AR226" s="402"/>
      <c r="AS226" s="402"/>
      <c r="AT226" s="402"/>
      <c r="AU226" s="192" t="s">
        <v>281</v>
      </c>
      <c r="AV226" s="192"/>
      <c r="AW226" s="192"/>
      <c r="AX226" s="192"/>
      <c r="AY226" s="192"/>
      <c r="AZ226" s="192" t="s">
        <v>282</v>
      </c>
      <c r="BA226" s="192"/>
      <c r="BB226" s="192"/>
      <c r="BC226" s="192"/>
      <c r="BD226" s="192"/>
      <c r="BE226" s="192" t="s">
        <v>283</v>
      </c>
      <c r="BF226" s="192"/>
      <c r="BG226" s="192"/>
      <c r="BH226" s="192"/>
      <c r="BI226" s="192"/>
      <c r="BJ226" s="192" t="s">
        <v>284</v>
      </c>
      <c r="BK226" s="192"/>
      <c r="BL226" s="192"/>
      <c r="BM226" s="192"/>
      <c r="BN226" s="192"/>
      <c r="BO226" s="192" t="s">
        <v>285</v>
      </c>
      <c r="BP226" s="192"/>
      <c r="BQ226" s="192"/>
      <c r="BR226" s="192"/>
      <c r="BS226" s="193"/>
    </row>
    <row r="227" spans="3:71" ht="15" x14ac:dyDescent="0.2">
      <c r="C227" s="367"/>
      <c r="D227" s="368"/>
      <c r="E227" s="369"/>
      <c r="F227" s="247"/>
      <c r="G227" s="221"/>
      <c r="H227" s="221"/>
      <c r="I227" s="221"/>
      <c r="J227" s="221"/>
      <c r="K227" s="221"/>
      <c r="L227" s="221"/>
      <c r="M227" s="363"/>
      <c r="N227" s="439"/>
      <c r="O227" s="219"/>
      <c r="P227" s="219"/>
      <c r="AJ227" s="180" t="s">
        <v>141</v>
      </c>
      <c r="AK227" s="181"/>
      <c r="AL227" s="181"/>
      <c r="AM227" s="181"/>
      <c r="AN227" s="181"/>
      <c r="AO227" s="181"/>
      <c r="AP227" s="181" t="s">
        <v>286</v>
      </c>
      <c r="AQ227" s="181"/>
      <c r="AR227" s="181"/>
      <c r="AS227" s="181"/>
      <c r="AT227" s="181"/>
      <c r="AU227" s="181" t="s">
        <v>287</v>
      </c>
      <c r="AV227" s="181"/>
      <c r="AW227" s="181"/>
      <c r="AX227" s="181"/>
      <c r="AY227" s="181"/>
      <c r="AZ227" s="181" t="s">
        <v>288</v>
      </c>
      <c r="BA227" s="181"/>
      <c r="BB227" s="181"/>
      <c r="BC227" s="181"/>
      <c r="BD227" s="181"/>
      <c r="BE227" s="181" t="s">
        <v>289</v>
      </c>
      <c r="BF227" s="181"/>
      <c r="BG227" s="181"/>
      <c r="BH227" s="181"/>
      <c r="BI227" s="181"/>
      <c r="BJ227" s="181" t="s">
        <v>290</v>
      </c>
      <c r="BK227" s="181"/>
      <c r="BL227" s="181"/>
      <c r="BM227" s="181"/>
      <c r="BN227" s="181"/>
      <c r="BO227" s="181" t="s">
        <v>291</v>
      </c>
      <c r="BP227" s="181"/>
      <c r="BQ227" s="181"/>
      <c r="BR227" s="181"/>
      <c r="BS227" s="191"/>
    </row>
    <row r="228" spans="3:71" ht="15.75" thickBot="1" x14ac:dyDescent="0.25">
      <c r="C228" s="370"/>
      <c r="D228" s="371"/>
      <c r="E228" s="372"/>
      <c r="F228" s="248"/>
      <c r="G228" s="221"/>
      <c r="H228" s="221"/>
      <c r="I228" s="221"/>
      <c r="J228" s="221"/>
      <c r="K228" s="221"/>
      <c r="L228" s="221"/>
      <c r="M228" s="363"/>
      <c r="N228" s="440"/>
      <c r="O228" s="219"/>
      <c r="P228" s="219"/>
      <c r="AJ228" s="182" t="s">
        <v>140</v>
      </c>
      <c r="AK228" s="123"/>
      <c r="AL228" s="123"/>
      <c r="AM228" s="123"/>
      <c r="AN228" s="123"/>
      <c r="AO228" s="123"/>
      <c r="AP228" s="123" t="s">
        <v>292</v>
      </c>
      <c r="AQ228" s="123"/>
      <c r="AR228" s="123"/>
      <c r="AS228" s="123"/>
      <c r="AT228" s="123"/>
      <c r="AU228" s="123" t="s">
        <v>293</v>
      </c>
      <c r="AV228" s="123"/>
      <c r="AW228" s="123"/>
      <c r="AX228" s="123"/>
      <c r="AY228" s="123"/>
      <c r="AZ228" s="123" t="s">
        <v>294</v>
      </c>
      <c r="BA228" s="123"/>
      <c r="BB228" s="123"/>
      <c r="BC228" s="123"/>
      <c r="BD228" s="123"/>
      <c r="BE228" s="123" t="s">
        <v>295</v>
      </c>
      <c r="BF228" s="123"/>
      <c r="BG228" s="123"/>
      <c r="BH228" s="123"/>
      <c r="BI228" s="123"/>
      <c r="BJ228" s="123" t="s">
        <v>296</v>
      </c>
      <c r="BK228" s="123"/>
      <c r="BL228" s="123"/>
      <c r="BM228" s="123"/>
      <c r="BN228" s="123"/>
      <c r="BO228" s="123" t="s">
        <v>297</v>
      </c>
      <c r="BP228" s="123"/>
      <c r="BQ228" s="123"/>
      <c r="BR228" s="123"/>
      <c r="BS228" s="190"/>
    </row>
    <row r="229" spans="3:71" ht="15" x14ac:dyDescent="0.2">
      <c r="C229" s="364" t="s">
        <v>71</v>
      </c>
      <c r="D229" s="365"/>
      <c r="E229" s="366"/>
      <c r="F229" s="246"/>
      <c r="G229" s="221"/>
      <c r="H229" s="221"/>
      <c r="I229" s="221"/>
      <c r="J229" s="221"/>
      <c r="K229" s="221"/>
      <c r="L229" s="221"/>
      <c r="M229" s="363"/>
      <c r="N229" s="438"/>
      <c r="O229" s="219"/>
      <c r="P229" s="219"/>
      <c r="AJ229" s="183" t="s">
        <v>298</v>
      </c>
      <c r="AK229" s="184"/>
      <c r="AL229" s="184"/>
      <c r="AM229" s="184"/>
      <c r="AN229" s="184"/>
      <c r="AO229" s="184"/>
      <c r="AP229" s="184" t="s">
        <v>299</v>
      </c>
      <c r="AQ229" s="184"/>
      <c r="AR229" s="184"/>
      <c r="AS229" s="184"/>
      <c r="AT229" s="184"/>
      <c r="AU229" s="184" t="s">
        <v>294</v>
      </c>
      <c r="AV229" s="184"/>
      <c r="AW229" s="184"/>
      <c r="AX229" s="184"/>
      <c r="AY229" s="184"/>
      <c r="AZ229" s="184" t="s">
        <v>297</v>
      </c>
      <c r="BA229" s="184"/>
      <c r="BB229" s="184"/>
      <c r="BC229" s="184"/>
      <c r="BD229" s="184"/>
      <c r="BE229" s="184" t="s">
        <v>300</v>
      </c>
      <c r="BF229" s="184"/>
      <c r="BG229" s="184"/>
      <c r="BH229" s="184"/>
      <c r="BI229" s="184"/>
      <c r="BJ229" s="184" t="s">
        <v>301</v>
      </c>
      <c r="BK229" s="184"/>
      <c r="BL229" s="184"/>
      <c r="BM229" s="184"/>
      <c r="BN229" s="184"/>
      <c r="BO229" s="184" t="s">
        <v>302</v>
      </c>
      <c r="BP229" s="184"/>
      <c r="BQ229" s="184"/>
      <c r="BR229" s="184"/>
      <c r="BS229" s="189"/>
    </row>
    <row r="230" spans="3:71" ht="15" x14ac:dyDescent="0.2">
      <c r="C230" s="367"/>
      <c r="D230" s="368"/>
      <c r="E230" s="369"/>
      <c r="F230" s="247"/>
      <c r="G230" s="221"/>
      <c r="H230" s="221"/>
      <c r="I230" s="221"/>
      <c r="J230" s="221"/>
      <c r="K230" s="221"/>
      <c r="L230" s="221"/>
      <c r="M230" s="363"/>
      <c r="N230" s="439"/>
      <c r="O230" s="219"/>
      <c r="P230" s="219"/>
      <c r="AJ230" s="182" t="s">
        <v>303</v>
      </c>
      <c r="AK230" s="123"/>
      <c r="AL230" s="123"/>
      <c r="AM230" s="123"/>
      <c r="AN230" s="123"/>
      <c r="AO230" s="123"/>
      <c r="AP230" s="123" t="s">
        <v>304</v>
      </c>
      <c r="AQ230" s="123"/>
      <c r="AR230" s="123"/>
      <c r="AS230" s="123"/>
      <c r="AT230" s="123"/>
      <c r="AU230" s="123" t="s">
        <v>295</v>
      </c>
      <c r="AV230" s="123"/>
      <c r="AW230" s="123"/>
      <c r="AX230" s="123"/>
      <c r="AY230" s="123"/>
      <c r="AZ230" s="123" t="s">
        <v>300</v>
      </c>
      <c r="BA230" s="123"/>
      <c r="BB230" s="123"/>
      <c r="BC230" s="123"/>
      <c r="BD230" s="123"/>
      <c r="BE230" s="123" t="s">
        <v>305</v>
      </c>
      <c r="BF230" s="123"/>
      <c r="BG230" s="123"/>
      <c r="BH230" s="123"/>
      <c r="BI230" s="123"/>
      <c r="BJ230" s="123" t="s">
        <v>305</v>
      </c>
      <c r="BK230" s="123"/>
      <c r="BL230" s="123"/>
      <c r="BM230" s="123"/>
      <c r="BN230" s="123"/>
      <c r="BO230" s="123" t="s">
        <v>306</v>
      </c>
      <c r="BP230" s="123"/>
      <c r="BQ230" s="123"/>
      <c r="BR230" s="123"/>
      <c r="BS230" s="190"/>
    </row>
    <row r="231" spans="3:71" ht="15.75" thickBot="1" x14ac:dyDescent="0.25">
      <c r="C231" s="370"/>
      <c r="D231" s="371"/>
      <c r="E231" s="372"/>
      <c r="F231" s="248"/>
      <c r="G231" s="221"/>
      <c r="H231" s="221"/>
      <c r="I231" s="221"/>
      <c r="J231" s="221"/>
      <c r="K231" s="221"/>
      <c r="L231" s="221"/>
      <c r="M231" s="363"/>
      <c r="N231" s="440"/>
      <c r="O231" s="219"/>
      <c r="P231" s="219"/>
      <c r="AJ231" s="183" t="s">
        <v>307</v>
      </c>
      <c r="AK231" s="184"/>
      <c r="AL231" s="184"/>
      <c r="AM231" s="184"/>
      <c r="AN231" s="184"/>
      <c r="AO231" s="184"/>
      <c r="AP231" s="184" t="s">
        <v>308</v>
      </c>
      <c r="AQ231" s="184"/>
      <c r="AR231" s="184"/>
      <c r="AS231" s="184"/>
      <c r="AT231" s="184"/>
      <c r="AU231" s="184" t="s">
        <v>309</v>
      </c>
      <c r="AV231" s="184"/>
      <c r="AW231" s="184"/>
      <c r="AX231" s="184"/>
      <c r="AY231" s="184"/>
      <c r="AZ231" s="184" t="s">
        <v>305</v>
      </c>
      <c r="BA231" s="184"/>
      <c r="BB231" s="184"/>
      <c r="BC231" s="184"/>
      <c r="BD231" s="184"/>
      <c r="BE231" s="184" t="s">
        <v>310</v>
      </c>
      <c r="BF231" s="184"/>
      <c r="BG231" s="184"/>
      <c r="BH231" s="184"/>
      <c r="BI231" s="184"/>
      <c r="BJ231" s="184" t="s">
        <v>310</v>
      </c>
      <c r="BK231" s="184"/>
      <c r="BL231" s="184"/>
      <c r="BM231" s="184"/>
      <c r="BN231" s="184"/>
      <c r="BO231" s="184" t="s">
        <v>311</v>
      </c>
      <c r="BP231" s="184"/>
      <c r="BQ231" s="184"/>
      <c r="BR231" s="184"/>
      <c r="BS231" s="189"/>
    </row>
    <row r="232" spans="3:71" ht="15" x14ac:dyDescent="0.2">
      <c r="C232" s="364" t="s">
        <v>72</v>
      </c>
      <c r="D232" s="365"/>
      <c r="E232" s="366"/>
      <c r="F232" s="246"/>
      <c r="G232" s="221"/>
      <c r="H232" s="221"/>
      <c r="I232" s="221"/>
      <c r="J232" s="221"/>
      <c r="K232" s="221"/>
      <c r="L232" s="221"/>
      <c r="M232" s="363"/>
      <c r="N232" s="438"/>
      <c r="O232" s="219"/>
      <c r="P232" s="219"/>
      <c r="AJ232" s="182" t="s">
        <v>312</v>
      </c>
      <c r="AK232" s="123"/>
      <c r="AL232" s="123"/>
      <c r="AM232" s="123"/>
      <c r="AN232" s="123"/>
      <c r="AO232" s="123"/>
      <c r="AP232" s="123" t="s">
        <v>313</v>
      </c>
      <c r="AQ232" s="123"/>
      <c r="AR232" s="123"/>
      <c r="AS232" s="123"/>
      <c r="AT232" s="123"/>
      <c r="AU232" s="123" t="s">
        <v>314</v>
      </c>
      <c r="AV232" s="123"/>
      <c r="AW232" s="123"/>
      <c r="AX232" s="123"/>
      <c r="AY232" s="123"/>
      <c r="AZ232" s="123" t="s">
        <v>315</v>
      </c>
      <c r="BA232" s="123"/>
      <c r="BB232" s="123"/>
      <c r="BC232" s="123"/>
      <c r="BD232" s="123"/>
      <c r="BE232" s="123" t="s">
        <v>316</v>
      </c>
      <c r="BF232" s="123"/>
      <c r="BG232" s="123"/>
      <c r="BH232" s="123"/>
      <c r="BI232" s="123"/>
      <c r="BJ232" s="123" t="s">
        <v>316</v>
      </c>
      <c r="BK232" s="123"/>
      <c r="BL232" s="123"/>
      <c r="BM232" s="123"/>
      <c r="BN232" s="123"/>
      <c r="BO232" s="123" t="s">
        <v>315</v>
      </c>
      <c r="BP232" s="123"/>
      <c r="BQ232" s="123"/>
      <c r="BR232" s="123"/>
      <c r="BS232" s="190"/>
    </row>
    <row r="233" spans="3:71" ht="15.75" thickBot="1" x14ac:dyDescent="0.25">
      <c r="C233" s="367"/>
      <c r="D233" s="368"/>
      <c r="E233" s="369"/>
      <c r="F233" s="247"/>
      <c r="G233" s="221"/>
      <c r="H233" s="221"/>
      <c r="I233" s="221"/>
      <c r="J233" s="221"/>
      <c r="K233" s="221"/>
      <c r="L233" s="221"/>
      <c r="M233" s="363"/>
      <c r="N233" s="439"/>
      <c r="O233" s="219"/>
      <c r="P233" s="219"/>
      <c r="AJ233" s="185" t="s">
        <v>317</v>
      </c>
      <c r="AK233" s="186"/>
      <c r="AL233" s="186"/>
      <c r="AM233" s="186"/>
      <c r="AN233" s="186"/>
      <c r="AO233" s="186"/>
      <c r="AP233" s="186" t="s">
        <v>318</v>
      </c>
      <c r="AQ233" s="186"/>
      <c r="AR233" s="186"/>
      <c r="AS233" s="186"/>
      <c r="AT233" s="186"/>
      <c r="AU233" s="186" t="s">
        <v>319</v>
      </c>
      <c r="AV233" s="186"/>
      <c r="AW233" s="186"/>
      <c r="AX233" s="186"/>
      <c r="AY233" s="186"/>
      <c r="AZ233" s="186" t="s">
        <v>320</v>
      </c>
      <c r="BA233" s="186"/>
      <c r="BB233" s="186"/>
      <c r="BC233" s="186"/>
      <c r="BD233" s="186"/>
      <c r="BE233" s="186" t="s">
        <v>321</v>
      </c>
      <c r="BF233" s="186"/>
      <c r="BG233" s="186"/>
      <c r="BH233" s="186"/>
      <c r="BI233" s="186"/>
      <c r="BJ233" s="186" t="s">
        <v>321</v>
      </c>
      <c r="BK233" s="186"/>
      <c r="BL233" s="186"/>
      <c r="BM233" s="186"/>
      <c r="BN233" s="186"/>
      <c r="BO233" s="186" t="s">
        <v>322</v>
      </c>
      <c r="BP233" s="186"/>
      <c r="BQ233" s="186"/>
      <c r="BR233" s="186"/>
      <c r="BS233" s="188"/>
    </row>
    <row r="234" spans="3:71" ht="15.75" thickBot="1" x14ac:dyDescent="0.25">
      <c r="C234" s="370"/>
      <c r="D234" s="371"/>
      <c r="E234" s="372"/>
      <c r="F234" s="248"/>
      <c r="G234" s="221"/>
      <c r="H234" s="221"/>
      <c r="I234" s="221"/>
      <c r="J234" s="221"/>
      <c r="K234" s="221"/>
      <c r="L234" s="221"/>
      <c r="M234" s="363"/>
      <c r="N234" s="440"/>
      <c r="O234" s="219"/>
      <c r="P234" s="219"/>
      <c r="AJ234" s="401" t="s">
        <v>323</v>
      </c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3"/>
    </row>
    <row r="235" spans="3:71" ht="15.75" thickBot="1" x14ac:dyDescent="0.25">
      <c r="C235" s="364" t="s">
        <v>73</v>
      </c>
      <c r="D235" s="365"/>
      <c r="E235" s="366"/>
      <c r="F235" s="246"/>
      <c r="G235" s="221"/>
      <c r="H235" s="221"/>
      <c r="I235" s="221"/>
      <c r="J235" s="221"/>
      <c r="K235" s="221"/>
      <c r="L235" s="221"/>
      <c r="M235" s="363"/>
      <c r="N235" s="438"/>
      <c r="O235" s="219"/>
      <c r="P235" s="219"/>
      <c r="AJ235" s="401" t="s">
        <v>279</v>
      </c>
      <c r="AK235" s="402"/>
      <c r="AL235" s="402"/>
      <c r="AM235" s="402"/>
      <c r="AN235" s="402"/>
      <c r="AO235" s="402"/>
      <c r="AP235" s="192" t="s">
        <v>280</v>
      </c>
      <c r="AQ235" s="192"/>
      <c r="AR235" s="192"/>
      <c r="AS235" s="192"/>
      <c r="AT235" s="192"/>
      <c r="AU235" s="192" t="s">
        <v>281</v>
      </c>
      <c r="AV235" s="192"/>
      <c r="AW235" s="192"/>
      <c r="AX235" s="192"/>
      <c r="AY235" s="192"/>
      <c r="AZ235" s="192" t="s">
        <v>282</v>
      </c>
      <c r="BA235" s="192"/>
      <c r="BB235" s="192"/>
      <c r="BC235" s="192"/>
      <c r="BD235" s="192"/>
      <c r="BE235" s="192" t="s">
        <v>283</v>
      </c>
      <c r="BF235" s="192"/>
      <c r="BG235" s="192"/>
      <c r="BH235" s="192"/>
      <c r="BI235" s="192"/>
      <c r="BJ235" s="192" t="s">
        <v>284</v>
      </c>
      <c r="BK235" s="192"/>
      <c r="BL235" s="192"/>
      <c r="BM235" s="192"/>
      <c r="BN235" s="192"/>
      <c r="BO235" s="192" t="s">
        <v>285</v>
      </c>
      <c r="BP235" s="192"/>
      <c r="BQ235" s="192"/>
      <c r="BR235" s="192"/>
      <c r="BS235" s="193"/>
    </row>
    <row r="236" spans="3:71" ht="15" x14ac:dyDescent="0.2">
      <c r="C236" s="367"/>
      <c r="D236" s="368"/>
      <c r="E236" s="369"/>
      <c r="F236" s="247"/>
      <c r="G236" s="221"/>
      <c r="H236" s="221"/>
      <c r="I236" s="221"/>
      <c r="J236" s="221"/>
      <c r="K236" s="221"/>
      <c r="L236" s="221"/>
      <c r="M236" s="363"/>
      <c r="N236" s="439"/>
      <c r="O236" s="219"/>
      <c r="P236" s="219"/>
      <c r="AJ236" s="393" t="s">
        <v>141</v>
      </c>
      <c r="AK236" s="394"/>
      <c r="AL236" s="394"/>
      <c r="AM236" s="394"/>
      <c r="AN236" s="394"/>
      <c r="AO236" s="394"/>
      <c r="AP236" s="181" t="s">
        <v>324</v>
      </c>
      <c r="AQ236" s="181"/>
      <c r="AR236" s="181"/>
      <c r="AS236" s="181"/>
      <c r="AT236" s="181"/>
      <c r="AU236" s="181" t="s">
        <v>304</v>
      </c>
      <c r="AV236" s="181"/>
      <c r="AW236" s="181"/>
      <c r="AX236" s="181"/>
      <c r="AY236" s="181"/>
      <c r="AZ236" s="181" t="s">
        <v>325</v>
      </c>
      <c r="BA236" s="181"/>
      <c r="BB236" s="181"/>
      <c r="BC236" s="181"/>
      <c r="BD236" s="181"/>
      <c r="BE236" s="181" t="s">
        <v>326</v>
      </c>
      <c r="BF236" s="181"/>
      <c r="BG236" s="181"/>
      <c r="BH236" s="181"/>
      <c r="BI236" s="181"/>
      <c r="BJ236" s="181" t="s">
        <v>327</v>
      </c>
      <c r="BK236" s="181"/>
      <c r="BL236" s="181"/>
      <c r="BM236" s="181"/>
      <c r="BN236" s="181"/>
      <c r="BO236" s="181" t="s">
        <v>328</v>
      </c>
      <c r="BP236" s="181"/>
      <c r="BQ236" s="181"/>
      <c r="BR236" s="181"/>
      <c r="BS236" s="191"/>
    </row>
    <row r="237" spans="3:71" ht="15.75" thickBot="1" x14ac:dyDescent="0.25">
      <c r="C237" s="370"/>
      <c r="D237" s="371"/>
      <c r="E237" s="372"/>
      <c r="F237" s="248"/>
      <c r="G237" s="221"/>
      <c r="H237" s="221"/>
      <c r="I237" s="221"/>
      <c r="J237" s="221"/>
      <c r="K237" s="221"/>
      <c r="L237" s="221"/>
      <c r="M237" s="363"/>
      <c r="N237" s="440"/>
      <c r="O237" s="219"/>
      <c r="P237" s="219"/>
      <c r="AJ237" s="380" t="s">
        <v>140</v>
      </c>
      <c r="AK237" s="392"/>
      <c r="AL237" s="392"/>
      <c r="AM237" s="392"/>
      <c r="AN237" s="392"/>
      <c r="AO237" s="392"/>
      <c r="AP237" s="123" t="s">
        <v>329</v>
      </c>
      <c r="AQ237" s="123"/>
      <c r="AR237" s="123"/>
      <c r="AS237" s="123"/>
      <c r="AT237" s="123"/>
      <c r="AU237" s="123" t="s">
        <v>295</v>
      </c>
      <c r="AV237" s="123"/>
      <c r="AW237" s="123"/>
      <c r="AX237" s="123"/>
      <c r="AY237" s="123"/>
      <c r="AZ237" s="123" t="s">
        <v>330</v>
      </c>
      <c r="BA237" s="123"/>
      <c r="BB237" s="123"/>
      <c r="BC237" s="123"/>
      <c r="BD237" s="123"/>
      <c r="BE237" s="123" t="s">
        <v>331</v>
      </c>
      <c r="BF237" s="123"/>
      <c r="BG237" s="123"/>
      <c r="BH237" s="123"/>
      <c r="BI237" s="123"/>
      <c r="BJ237" s="123" t="s">
        <v>332</v>
      </c>
      <c r="BK237" s="123"/>
      <c r="BL237" s="123"/>
      <c r="BM237" s="123"/>
      <c r="BN237" s="123"/>
      <c r="BO237" s="123" t="s">
        <v>333</v>
      </c>
      <c r="BP237" s="123"/>
      <c r="BQ237" s="123"/>
      <c r="BR237" s="123"/>
      <c r="BS237" s="190"/>
    </row>
    <row r="238" spans="3:71" ht="15" x14ac:dyDescent="0.2">
      <c r="C238" s="364" t="s">
        <v>74</v>
      </c>
      <c r="D238" s="365"/>
      <c r="E238" s="366"/>
      <c r="F238" s="246"/>
      <c r="G238" s="221"/>
      <c r="H238" s="221"/>
      <c r="I238" s="221"/>
      <c r="J238" s="221"/>
      <c r="K238" s="221"/>
      <c r="L238" s="221"/>
      <c r="M238" s="363"/>
      <c r="N238" s="438"/>
      <c r="O238" s="219"/>
      <c r="P238" s="219"/>
      <c r="AJ238" s="378" t="s">
        <v>298</v>
      </c>
      <c r="AK238" s="391"/>
      <c r="AL238" s="391"/>
      <c r="AM238" s="391"/>
      <c r="AN238" s="391"/>
      <c r="AO238" s="391"/>
      <c r="AP238" s="184" t="s">
        <v>334</v>
      </c>
      <c r="AQ238" s="184"/>
      <c r="AR238" s="184"/>
      <c r="AS238" s="184"/>
      <c r="AT238" s="184"/>
      <c r="AU238" s="184" t="s">
        <v>300</v>
      </c>
      <c r="AV238" s="184"/>
      <c r="AW238" s="184"/>
      <c r="AX238" s="184"/>
      <c r="AY238" s="184"/>
      <c r="AZ238" s="184" t="s">
        <v>332</v>
      </c>
      <c r="BA238" s="184"/>
      <c r="BB238" s="184"/>
      <c r="BC238" s="184"/>
      <c r="BD238" s="184"/>
      <c r="BE238" s="184" t="s">
        <v>335</v>
      </c>
      <c r="BF238" s="184"/>
      <c r="BG238" s="184"/>
      <c r="BH238" s="184"/>
      <c r="BI238" s="184"/>
      <c r="BJ238" s="184" t="s">
        <v>315</v>
      </c>
      <c r="BK238" s="184"/>
      <c r="BL238" s="184"/>
      <c r="BM238" s="184"/>
      <c r="BN238" s="184"/>
      <c r="BO238" s="184" t="s">
        <v>315</v>
      </c>
      <c r="BP238" s="184"/>
      <c r="BQ238" s="184"/>
      <c r="BR238" s="184"/>
      <c r="BS238" s="189"/>
    </row>
    <row r="239" spans="3:71" ht="15" x14ac:dyDescent="0.2">
      <c r="C239" s="367"/>
      <c r="D239" s="368"/>
      <c r="E239" s="369"/>
      <c r="F239" s="247"/>
      <c r="G239" s="221"/>
      <c r="H239" s="221"/>
      <c r="I239" s="221"/>
      <c r="J239" s="221"/>
      <c r="K239" s="221"/>
      <c r="L239" s="221"/>
      <c r="M239" s="363"/>
      <c r="N239" s="439"/>
      <c r="O239" s="219"/>
      <c r="P239" s="219"/>
      <c r="AJ239" s="380" t="s">
        <v>303</v>
      </c>
      <c r="AK239" s="392"/>
      <c r="AL239" s="392"/>
      <c r="AM239" s="392"/>
      <c r="AN239" s="392"/>
      <c r="AO239" s="392"/>
      <c r="AP239" s="123" t="s">
        <v>331</v>
      </c>
      <c r="AQ239" s="123"/>
      <c r="AR239" s="123"/>
      <c r="AS239" s="123"/>
      <c r="AT239" s="123"/>
      <c r="AU239" s="123" t="s">
        <v>305</v>
      </c>
      <c r="AV239" s="123"/>
      <c r="AW239" s="123"/>
      <c r="AX239" s="123"/>
      <c r="AY239" s="123"/>
      <c r="AZ239" s="123" t="s">
        <v>315</v>
      </c>
      <c r="BA239" s="123"/>
      <c r="BB239" s="123"/>
      <c r="BC239" s="123"/>
      <c r="BD239" s="123"/>
      <c r="BE239" s="123" t="s">
        <v>336</v>
      </c>
      <c r="BF239" s="123"/>
      <c r="BG239" s="123"/>
      <c r="BH239" s="123"/>
      <c r="BI239" s="123"/>
      <c r="BJ239" s="123" t="s">
        <v>337</v>
      </c>
      <c r="BK239" s="123"/>
      <c r="BL239" s="123"/>
      <c r="BM239" s="123"/>
      <c r="BN239" s="123"/>
      <c r="BO239" s="123" t="s">
        <v>337</v>
      </c>
      <c r="BP239" s="123"/>
      <c r="BQ239" s="123"/>
      <c r="BR239" s="123"/>
      <c r="BS239" s="190"/>
    </row>
    <row r="240" spans="3:71" ht="15.75" thickBot="1" x14ac:dyDescent="0.25">
      <c r="C240" s="370"/>
      <c r="D240" s="371"/>
      <c r="E240" s="372"/>
      <c r="F240" s="248"/>
      <c r="G240" s="221"/>
      <c r="H240" s="221"/>
      <c r="I240" s="221"/>
      <c r="J240" s="221"/>
      <c r="K240" s="221"/>
      <c r="L240" s="221"/>
      <c r="M240" s="363"/>
      <c r="N240" s="440"/>
      <c r="O240" s="219"/>
      <c r="P240" s="219"/>
      <c r="AJ240" s="378" t="s">
        <v>307</v>
      </c>
      <c r="AK240" s="391"/>
      <c r="AL240" s="391"/>
      <c r="AM240" s="391"/>
      <c r="AN240" s="391"/>
      <c r="AO240" s="391"/>
      <c r="AP240" s="184" t="s">
        <v>335</v>
      </c>
      <c r="AQ240" s="184"/>
      <c r="AR240" s="184"/>
      <c r="AS240" s="184"/>
      <c r="AT240" s="184"/>
      <c r="AU240" s="184" t="s">
        <v>315</v>
      </c>
      <c r="AV240" s="184"/>
      <c r="AW240" s="184"/>
      <c r="AX240" s="184"/>
      <c r="AY240" s="184"/>
      <c r="AZ240" s="184" t="s">
        <v>337</v>
      </c>
      <c r="BA240" s="184"/>
      <c r="BB240" s="184"/>
      <c r="BC240" s="184"/>
      <c r="BD240" s="184"/>
      <c r="BE240" s="184" t="s">
        <v>338</v>
      </c>
      <c r="BF240" s="184"/>
      <c r="BG240" s="184"/>
      <c r="BH240" s="184"/>
      <c r="BI240" s="184"/>
      <c r="BJ240" s="184" t="s">
        <v>339</v>
      </c>
      <c r="BK240" s="184"/>
      <c r="BL240" s="184"/>
      <c r="BM240" s="184"/>
      <c r="BN240" s="184"/>
      <c r="BO240" s="184" t="s">
        <v>338</v>
      </c>
      <c r="BP240" s="184"/>
      <c r="BQ240" s="184"/>
      <c r="BR240" s="184"/>
      <c r="BS240" s="189"/>
    </row>
    <row r="241" spans="3:71" ht="15" x14ac:dyDescent="0.2">
      <c r="C241" s="364" t="s">
        <v>75</v>
      </c>
      <c r="D241" s="365"/>
      <c r="E241" s="366"/>
      <c r="F241" s="246"/>
      <c r="G241" s="221"/>
      <c r="H241" s="221"/>
      <c r="I241" s="221"/>
      <c r="J241" s="221"/>
      <c r="K241" s="221"/>
      <c r="L241" s="221"/>
      <c r="M241" s="363"/>
      <c r="N241" s="438"/>
      <c r="O241" s="219"/>
      <c r="P241" s="219"/>
      <c r="AJ241" s="380" t="s">
        <v>312</v>
      </c>
      <c r="AK241" s="392"/>
      <c r="AL241" s="392"/>
      <c r="AM241" s="392"/>
      <c r="AN241" s="392"/>
      <c r="AO241" s="392"/>
      <c r="AP241" s="123" t="s">
        <v>336</v>
      </c>
      <c r="AQ241" s="123"/>
      <c r="AR241" s="123"/>
      <c r="AS241" s="123"/>
      <c r="AT241" s="123"/>
      <c r="AU241" s="123" t="s">
        <v>340</v>
      </c>
      <c r="AV241" s="123"/>
      <c r="AW241" s="123"/>
      <c r="AX241" s="123"/>
      <c r="AY241" s="123"/>
      <c r="AZ241" s="123" t="s">
        <v>341</v>
      </c>
      <c r="BA241" s="123"/>
      <c r="BB241" s="123"/>
      <c r="BC241" s="123"/>
      <c r="BD241" s="123"/>
      <c r="BE241" s="123" t="s">
        <v>358</v>
      </c>
      <c r="BF241" s="123"/>
      <c r="BG241" s="123"/>
      <c r="BH241" s="123"/>
      <c r="BI241" s="123"/>
      <c r="BJ241" s="123" t="s">
        <v>342</v>
      </c>
      <c r="BK241" s="123"/>
      <c r="BL241" s="123"/>
      <c r="BM241" s="123"/>
      <c r="BN241" s="123"/>
      <c r="BO241" s="123" t="s">
        <v>343</v>
      </c>
      <c r="BP241" s="123"/>
      <c r="BQ241" s="123"/>
      <c r="BR241" s="123"/>
      <c r="BS241" s="190"/>
    </row>
    <row r="242" spans="3:71" ht="15.75" thickBot="1" x14ac:dyDescent="0.25">
      <c r="C242" s="367"/>
      <c r="D242" s="368"/>
      <c r="E242" s="369"/>
      <c r="F242" s="247"/>
      <c r="G242" s="221"/>
      <c r="H242" s="221"/>
      <c r="I242" s="221"/>
      <c r="J242" s="221"/>
      <c r="K242" s="221"/>
      <c r="L242" s="221"/>
      <c r="M242" s="363"/>
      <c r="N242" s="439"/>
      <c r="O242" s="219"/>
      <c r="P242" s="219"/>
      <c r="AJ242" s="387" t="s">
        <v>317</v>
      </c>
      <c r="AK242" s="388"/>
      <c r="AL242" s="388"/>
      <c r="AM242" s="388"/>
      <c r="AN242" s="388"/>
      <c r="AO242" s="388"/>
      <c r="AP242" s="186" t="s">
        <v>344</v>
      </c>
      <c r="AQ242" s="186"/>
      <c r="AR242" s="186"/>
      <c r="AS242" s="186"/>
      <c r="AT242" s="186"/>
      <c r="AU242" s="186" t="s">
        <v>345</v>
      </c>
      <c r="AV242" s="186"/>
      <c r="AW242" s="186"/>
      <c r="AX242" s="186"/>
      <c r="AY242" s="186"/>
      <c r="AZ242" s="186" t="s">
        <v>346</v>
      </c>
      <c r="BA242" s="186"/>
      <c r="BB242" s="186"/>
      <c r="BC242" s="186"/>
      <c r="BD242" s="186"/>
      <c r="BE242" s="186" t="s">
        <v>357</v>
      </c>
      <c r="BF242" s="186"/>
      <c r="BG242" s="186"/>
      <c r="BH242" s="186"/>
      <c r="BI242" s="186"/>
      <c r="BJ242" s="186" t="s">
        <v>347</v>
      </c>
      <c r="BK242" s="186"/>
      <c r="BL242" s="186"/>
      <c r="BM242" s="186"/>
      <c r="BN242" s="186"/>
      <c r="BO242" s="186" t="s">
        <v>348</v>
      </c>
      <c r="BP242" s="186"/>
      <c r="BQ242" s="186"/>
      <c r="BR242" s="186"/>
      <c r="BS242" s="188"/>
    </row>
    <row r="243" spans="3:71" ht="15.75" thickBot="1" x14ac:dyDescent="0.25">
      <c r="C243" s="370"/>
      <c r="D243" s="371"/>
      <c r="E243" s="372"/>
      <c r="F243" s="248"/>
      <c r="G243" s="221"/>
      <c r="H243" s="221"/>
      <c r="I243" s="221"/>
      <c r="J243" s="221"/>
      <c r="K243" s="221"/>
      <c r="L243" s="221"/>
      <c r="M243" s="363"/>
      <c r="N243" s="440"/>
      <c r="O243" s="219"/>
      <c r="P243" s="219"/>
    </row>
    <row r="244" spans="3:71" ht="15" x14ac:dyDescent="0.2">
      <c r="C244" s="364" t="s">
        <v>76</v>
      </c>
      <c r="D244" s="365"/>
      <c r="E244" s="366"/>
      <c r="F244" s="246"/>
      <c r="G244" s="221"/>
      <c r="H244" s="221"/>
      <c r="I244" s="221"/>
      <c r="J244" s="221"/>
      <c r="K244" s="221"/>
      <c r="L244" s="221"/>
      <c r="M244" s="363"/>
      <c r="N244" s="438"/>
      <c r="O244" s="219"/>
      <c r="P244" s="219"/>
    </row>
    <row r="245" spans="3:71" ht="15" x14ac:dyDescent="0.2">
      <c r="C245" s="367"/>
      <c r="D245" s="368"/>
      <c r="E245" s="369"/>
      <c r="F245" s="247"/>
      <c r="G245" s="221"/>
      <c r="H245" s="221"/>
      <c r="I245" s="221"/>
      <c r="J245" s="221"/>
      <c r="K245" s="221"/>
      <c r="L245" s="221"/>
      <c r="M245" s="363"/>
      <c r="N245" s="439"/>
      <c r="O245" s="219"/>
      <c r="P245" s="219"/>
      <c r="AJ245" s="389" t="s">
        <v>349</v>
      </c>
      <c r="AK245" s="390"/>
      <c r="AL245" s="390"/>
      <c r="BB245" s="395" t="s">
        <v>350</v>
      </c>
      <c r="BC245" s="395"/>
      <c r="BD245" s="395"/>
    </row>
    <row r="246" spans="3:71" ht="15.75" thickBot="1" x14ac:dyDescent="0.25">
      <c r="C246" s="370"/>
      <c r="D246" s="371"/>
      <c r="E246" s="372"/>
      <c r="F246" s="248"/>
      <c r="G246" s="221"/>
      <c r="H246" s="221"/>
      <c r="I246" s="221"/>
      <c r="J246" s="221"/>
      <c r="K246" s="221"/>
      <c r="L246" s="221"/>
      <c r="M246" s="363"/>
      <c r="N246" s="440"/>
      <c r="O246" s="219"/>
      <c r="P246" s="219"/>
      <c r="AJ246" s="194"/>
      <c r="AK246" s="195"/>
      <c r="AL246" s="195" t="s">
        <v>351</v>
      </c>
      <c r="AM246" s="187"/>
      <c r="AN246" s="187"/>
      <c r="AO246" s="187"/>
      <c r="AP246" s="106"/>
      <c r="BC246" s="195" t="s">
        <v>351</v>
      </c>
    </row>
    <row r="247" spans="3:71" ht="15" x14ac:dyDescent="0.2">
      <c r="C247" s="416" t="s">
        <v>77</v>
      </c>
      <c r="D247" s="417"/>
      <c r="E247" s="418"/>
      <c r="F247" s="246"/>
      <c r="G247" s="221"/>
      <c r="H247" s="221"/>
      <c r="I247" s="221"/>
      <c r="J247" s="221"/>
      <c r="K247" s="221"/>
      <c r="L247" s="221"/>
      <c r="M247" s="363"/>
      <c r="N247" s="438"/>
      <c r="O247" s="219"/>
      <c r="P247" s="219"/>
      <c r="AL247" s="201">
        <v>4</v>
      </c>
      <c r="AM247" s="378" t="s">
        <v>141</v>
      </c>
      <c r="AN247" s="379"/>
      <c r="AO247" s="106"/>
      <c r="AP247" s="106"/>
      <c r="BB247" s="209">
        <v>13</v>
      </c>
      <c r="BC247" s="396" t="s">
        <v>141</v>
      </c>
      <c r="BD247" s="397"/>
    </row>
    <row r="248" spans="3:71" ht="15" x14ac:dyDescent="0.2">
      <c r="C248" s="419"/>
      <c r="D248" s="363"/>
      <c r="E248" s="420"/>
      <c r="F248" s="247"/>
      <c r="G248" s="221"/>
      <c r="H248" s="221"/>
      <c r="I248" s="221"/>
      <c r="J248" s="221"/>
      <c r="K248" s="221"/>
      <c r="L248" s="221"/>
      <c r="M248" s="363"/>
      <c r="N248" s="439"/>
      <c r="O248" s="219"/>
      <c r="P248" s="219"/>
      <c r="AL248" s="202">
        <v>8</v>
      </c>
      <c r="AM248" s="380" t="s">
        <v>140</v>
      </c>
      <c r="AN248" s="381"/>
      <c r="AO248" s="106"/>
      <c r="AP248" s="106"/>
      <c r="BB248" s="210">
        <v>17</v>
      </c>
      <c r="BC248" s="398" t="s">
        <v>140</v>
      </c>
      <c r="BD248" s="399"/>
    </row>
    <row r="249" spans="3:71" ht="15.75" thickBot="1" x14ac:dyDescent="0.25">
      <c r="C249" s="421"/>
      <c r="D249" s="413"/>
      <c r="E249" s="422"/>
      <c r="F249" s="248"/>
      <c r="G249" s="221"/>
      <c r="H249" s="221"/>
      <c r="I249" s="221"/>
      <c r="J249" s="221"/>
      <c r="K249" s="221"/>
      <c r="L249" s="221"/>
      <c r="M249" s="363"/>
      <c r="N249" s="440"/>
      <c r="O249" s="219"/>
      <c r="P249" s="219"/>
      <c r="AL249" s="203">
        <v>12</v>
      </c>
      <c r="AM249" s="378" t="s">
        <v>298</v>
      </c>
      <c r="AN249" s="382"/>
      <c r="AO249" s="106"/>
      <c r="AP249" s="106"/>
      <c r="BB249" s="211">
        <v>20</v>
      </c>
      <c r="BC249" s="396" t="s">
        <v>298</v>
      </c>
      <c r="BD249" s="400"/>
    </row>
    <row r="250" spans="3:71" ht="15" x14ac:dyDescent="0.2">
      <c r="C250" s="364" t="s">
        <v>78</v>
      </c>
      <c r="D250" s="365"/>
      <c r="E250" s="366"/>
      <c r="F250" s="246"/>
      <c r="G250" s="221"/>
      <c r="H250" s="221"/>
      <c r="I250" s="221"/>
      <c r="J250" s="221"/>
      <c r="K250" s="221"/>
      <c r="L250" s="221"/>
      <c r="M250" s="363"/>
      <c r="N250" s="438"/>
      <c r="O250" s="219"/>
      <c r="P250" s="219"/>
      <c r="AL250" s="202">
        <v>14</v>
      </c>
      <c r="AM250" s="380" t="s">
        <v>303</v>
      </c>
      <c r="AN250" s="381"/>
      <c r="AO250" s="106"/>
      <c r="AP250" s="106"/>
      <c r="AX250" s="42" t="s">
        <v>138</v>
      </c>
      <c r="BB250" s="210">
        <v>23</v>
      </c>
      <c r="BC250" s="398" t="s">
        <v>303</v>
      </c>
      <c r="BD250" s="399"/>
    </row>
    <row r="251" spans="3:71" ht="15" x14ac:dyDescent="0.2">
      <c r="C251" s="367"/>
      <c r="D251" s="368"/>
      <c r="E251" s="369"/>
      <c r="F251" s="247"/>
      <c r="G251" s="221"/>
      <c r="H251" s="221"/>
      <c r="I251" s="221"/>
      <c r="J251" s="221"/>
      <c r="K251" s="221"/>
      <c r="L251" s="221"/>
      <c r="M251" s="363"/>
      <c r="N251" s="439"/>
      <c r="O251" s="219"/>
      <c r="P251" s="219"/>
      <c r="AL251" s="203">
        <v>14</v>
      </c>
      <c r="AM251" s="378" t="s">
        <v>307</v>
      </c>
      <c r="AN251" s="382"/>
      <c r="AO251" s="106"/>
      <c r="AP251" s="106"/>
      <c r="AV251" s="42" t="s">
        <v>133</v>
      </c>
      <c r="AX251" s="216" t="str">
        <f>F98</f>
        <v>-</v>
      </c>
      <c r="BB251" s="211">
        <v>26</v>
      </c>
      <c r="BC251" s="396" t="s">
        <v>307</v>
      </c>
      <c r="BD251" s="400"/>
    </row>
    <row r="252" spans="3:71" ht="15.75" thickBot="1" x14ac:dyDescent="0.25">
      <c r="C252" s="370"/>
      <c r="D252" s="371"/>
      <c r="E252" s="372"/>
      <c r="F252" s="248"/>
      <c r="G252" s="221"/>
      <c r="H252" s="221"/>
      <c r="I252" s="221"/>
      <c r="J252" s="221"/>
      <c r="K252" s="221"/>
      <c r="L252" s="221"/>
      <c r="M252" s="363"/>
      <c r="N252" s="440"/>
      <c r="O252" s="219"/>
      <c r="P252" s="219"/>
      <c r="AL252" s="202">
        <v>20</v>
      </c>
      <c r="AM252" s="380" t="s">
        <v>312</v>
      </c>
      <c r="AN252" s="381"/>
      <c r="AO252" s="106"/>
      <c r="AP252" s="106"/>
      <c r="AT252" s="42" t="s">
        <v>132</v>
      </c>
      <c r="AV252" s="196" t="str">
        <f>N9</f>
        <v>-</v>
      </c>
      <c r="BB252" s="210">
        <v>29</v>
      </c>
      <c r="BC252" s="398" t="s">
        <v>312</v>
      </c>
      <c r="BD252" s="399"/>
    </row>
    <row r="253" spans="3:71" ht="15.75" thickBot="1" x14ac:dyDescent="0.25">
      <c r="C253" s="416" t="s">
        <v>79</v>
      </c>
      <c r="D253" s="417"/>
      <c r="E253" s="418"/>
      <c r="F253" s="246"/>
      <c r="G253" s="221"/>
      <c r="H253" s="221"/>
      <c r="I253" s="221"/>
      <c r="J253" s="221"/>
      <c r="K253" s="221"/>
      <c r="L253" s="221"/>
      <c r="M253" s="363"/>
      <c r="N253" s="438"/>
      <c r="O253" s="219"/>
      <c r="P253" s="219"/>
      <c r="AL253" s="204">
        <v>26</v>
      </c>
      <c r="AM253" s="378" t="s">
        <v>317</v>
      </c>
      <c r="AN253" s="382"/>
      <c r="AO253" s="106"/>
      <c r="AP253" s="106"/>
      <c r="AT253" s="42">
        <f>IF(L9="feminino",0,1)</f>
        <v>1</v>
      </c>
      <c r="BB253" s="212">
        <v>33</v>
      </c>
      <c r="BC253" s="396" t="s">
        <v>317</v>
      </c>
      <c r="BD253" s="400"/>
    </row>
    <row r="254" spans="3:71" ht="15.75" thickBot="1" x14ac:dyDescent="0.25">
      <c r="C254" s="419"/>
      <c r="D254" s="363"/>
      <c r="E254" s="420"/>
      <c r="F254" s="247"/>
      <c r="G254" s="221"/>
      <c r="H254" s="221"/>
      <c r="I254" s="221"/>
      <c r="J254" s="221"/>
      <c r="K254" s="221"/>
      <c r="L254" s="221"/>
      <c r="M254" s="363"/>
      <c r="N254" s="439"/>
      <c r="O254" s="219"/>
      <c r="P254" s="219"/>
      <c r="AN254" s="106"/>
      <c r="AO254" s="106"/>
      <c r="AP254" s="106"/>
    </row>
    <row r="255" spans="3:71" ht="15.75" thickBot="1" x14ac:dyDescent="0.25">
      <c r="C255" s="421"/>
      <c r="D255" s="413"/>
      <c r="E255" s="422"/>
      <c r="F255" s="248"/>
      <c r="G255" s="221"/>
      <c r="H255" s="221"/>
      <c r="I255" s="221"/>
      <c r="J255" s="221"/>
      <c r="K255" s="221"/>
      <c r="L255" s="221"/>
      <c r="M255" s="363"/>
      <c r="N255" s="440"/>
      <c r="O255" s="219"/>
      <c r="P255" s="219"/>
      <c r="AJ255" s="194"/>
      <c r="AK255" s="195"/>
      <c r="AL255" s="192" t="s">
        <v>352</v>
      </c>
      <c r="AN255" s="187"/>
      <c r="AO255" s="187"/>
      <c r="AP255" s="106"/>
      <c r="BC255" s="192" t="s">
        <v>352</v>
      </c>
    </row>
    <row r="256" spans="3:71" ht="15" x14ac:dyDescent="0.2">
      <c r="C256" s="367" t="s">
        <v>80</v>
      </c>
      <c r="D256" s="368"/>
      <c r="E256" s="368"/>
      <c r="F256" s="246"/>
      <c r="G256" s="221"/>
      <c r="H256" s="221"/>
      <c r="I256" s="221"/>
      <c r="J256" s="221"/>
      <c r="K256" s="221"/>
      <c r="L256" s="221"/>
      <c r="M256" s="363"/>
      <c r="N256" s="438"/>
      <c r="O256" s="219"/>
      <c r="P256" s="219"/>
      <c r="AL256" s="197">
        <v>8</v>
      </c>
      <c r="AM256" s="378" t="s">
        <v>141</v>
      </c>
      <c r="AN256" s="379"/>
      <c r="AO256" s="119"/>
      <c r="AP256" s="217"/>
      <c r="AT256" s="79"/>
      <c r="AU256" s="79"/>
      <c r="AV256" s="79"/>
      <c r="AW256" s="79"/>
      <c r="BB256" s="205">
        <v>14</v>
      </c>
      <c r="BC256" s="378" t="s">
        <v>141</v>
      </c>
      <c r="BD256" s="379"/>
    </row>
    <row r="257" spans="3:56" ht="15" x14ac:dyDescent="0.2">
      <c r="C257" s="367"/>
      <c r="D257" s="368"/>
      <c r="E257" s="368"/>
      <c r="F257" s="247"/>
      <c r="G257" s="221"/>
      <c r="H257" s="221"/>
      <c r="I257" s="221"/>
      <c r="J257" s="221"/>
      <c r="K257" s="221"/>
      <c r="L257" s="221"/>
      <c r="M257" s="363"/>
      <c r="N257" s="439"/>
      <c r="O257" s="219"/>
      <c r="P257" s="219"/>
      <c r="AL257" s="198">
        <v>12</v>
      </c>
      <c r="AM257" s="380" t="s">
        <v>140</v>
      </c>
      <c r="AN257" s="381"/>
      <c r="AO257" s="119"/>
      <c r="AP257" s="217"/>
      <c r="AT257" s="79"/>
      <c r="AU257" s="79" t="s">
        <v>359</v>
      </c>
      <c r="AV257" s="79"/>
      <c r="AW257" s="79"/>
      <c r="BB257" s="206">
        <v>18</v>
      </c>
      <c r="BC257" s="380" t="s">
        <v>140</v>
      </c>
      <c r="BD257" s="381"/>
    </row>
    <row r="258" spans="3:56" ht="15.75" thickBot="1" x14ac:dyDescent="0.25">
      <c r="C258" s="367"/>
      <c r="D258" s="368"/>
      <c r="E258" s="368"/>
      <c r="F258" s="248"/>
      <c r="G258" s="221"/>
      <c r="H258" s="221"/>
      <c r="I258" s="221"/>
      <c r="J258" s="221"/>
      <c r="K258" s="221"/>
      <c r="L258" s="221"/>
      <c r="M258" s="363"/>
      <c r="N258" s="440"/>
      <c r="O258" s="219"/>
      <c r="P258" s="219"/>
      <c r="Z258" t="s">
        <v>90</v>
      </c>
      <c r="AL258" s="199">
        <v>16</v>
      </c>
      <c r="AM258" s="378" t="s">
        <v>298</v>
      </c>
      <c r="AN258" s="382"/>
      <c r="AO258" s="119"/>
      <c r="AP258" s="217"/>
      <c r="AT258" s="79"/>
      <c r="AU258" s="386" t="e">
        <f>IF(AND(AT253=0,AV252&lt;=25),VLOOKUP(AX251,BB247:BD253,2,TRUE),IF(AND(AT253=0,AV252&lt;=35),VLOOKUP(AX251,BB256:BD262,2,TRUE),IF(AND(AT253=0,AV252&lt;=45),VLOOKUP(AX251,BB265:BD271,2,TRUE),IF(AND(AT253=0,AV252&lt;=55),VLOOKUP(AX251,BB274:BD280,2,TRUE),IF(AND(AT253=0,AV252&lt;=65),VLOOKUP(AX251,BB283:BD289,2,TRUE),IF(AND(AT253=0,AV252&gt;=65),VLOOKUP(AX251,BB292:BD298,2,TRUE),IF(AND(AT253=1,AV252&lt;=25),VLOOKUP(AX251,AL247:AN253,2,TRUE),IF(AND(AT253=1,AV252&lt;=35),VLOOKUP(AX251,AL256:AN262,2,TRUE),IF(AND(AT253=1,AV252&lt;=45),VLOOKUP(AX251,AL265:AN271,2,TRUE),IF(AND(AT253=1,AV252&lt;=55),VLOOKUP(AX251,AL274:AN280,2,TRUE),IF(AND(AT253=1,AV252&lt;=65),VLOOKUP(AX251,AL283:AN289,2,TRUE),IF(AND(AT253=1,AV252&gt;=65),VLOOKUP(AX251,AL292:AN298,2,TRUE),"-"))))))))))))</f>
        <v>#N/A</v>
      </c>
      <c r="AV258" s="386"/>
      <c r="AW258" s="79"/>
      <c r="BB258" s="207">
        <v>21</v>
      </c>
      <c r="BC258" s="378" t="s">
        <v>298</v>
      </c>
      <c r="BD258" s="382"/>
    </row>
    <row r="259" spans="3:56" ht="15" x14ac:dyDescent="0.2">
      <c r="C259" s="364" t="s">
        <v>81</v>
      </c>
      <c r="D259" s="365"/>
      <c r="E259" s="366"/>
      <c r="F259" s="246"/>
      <c r="G259" s="221"/>
      <c r="H259" s="221"/>
      <c r="I259" s="221"/>
      <c r="J259" s="221"/>
      <c r="K259" s="221"/>
      <c r="L259" s="221"/>
      <c r="M259" s="363"/>
      <c r="N259" s="438"/>
      <c r="O259" s="219"/>
      <c r="P259" s="219"/>
      <c r="Y259" s="310">
        <v>0</v>
      </c>
      <c r="Z259" t="s">
        <v>87</v>
      </c>
      <c r="AL259" s="198">
        <v>18</v>
      </c>
      <c r="AM259" s="380" t="s">
        <v>303</v>
      </c>
      <c r="AN259" s="381"/>
      <c r="AO259" s="119"/>
      <c r="AP259" s="217"/>
      <c r="AT259" s="79"/>
      <c r="AU259" s="79"/>
      <c r="AV259" s="79"/>
      <c r="AW259" s="79"/>
      <c r="BB259" s="206">
        <v>24</v>
      </c>
      <c r="BC259" s="380" t="s">
        <v>303</v>
      </c>
      <c r="BD259" s="381"/>
    </row>
    <row r="260" spans="3:56" ht="15" x14ac:dyDescent="0.2">
      <c r="C260" s="367"/>
      <c r="D260" s="368"/>
      <c r="E260" s="369"/>
      <c r="F260" s="247"/>
      <c r="G260" s="221"/>
      <c r="H260" s="221"/>
      <c r="I260" s="221"/>
      <c r="J260" s="221"/>
      <c r="K260" s="221"/>
      <c r="L260" s="221"/>
      <c r="M260" s="363"/>
      <c r="N260" s="439"/>
      <c r="O260" s="219"/>
      <c r="P260" s="219"/>
      <c r="Y260" s="310">
        <v>21</v>
      </c>
      <c r="Z260" t="s">
        <v>63</v>
      </c>
      <c r="AL260" s="199">
        <v>22</v>
      </c>
      <c r="AM260" s="378" t="s">
        <v>307</v>
      </c>
      <c r="AN260" s="382"/>
      <c r="AO260" s="119"/>
      <c r="AP260" s="217"/>
      <c r="BB260" s="207">
        <v>27</v>
      </c>
      <c r="BC260" s="378" t="s">
        <v>307</v>
      </c>
      <c r="BD260" s="382"/>
    </row>
    <row r="261" spans="3:56" ht="15.75" thickBot="1" x14ac:dyDescent="0.25">
      <c r="C261" s="370"/>
      <c r="D261" s="371"/>
      <c r="E261" s="372"/>
      <c r="F261" s="248"/>
      <c r="G261" s="221"/>
      <c r="H261" s="221"/>
      <c r="I261" s="221"/>
      <c r="J261" s="221"/>
      <c r="K261" s="221"/>
      <c r="L261" s="221"/>
      <c r="M261" s="363"/>
      <c r="N261" s="440"/>
      <c r="O261" s="219"/>
      <c r="P261" s="219"/>
      <c r="Y261" s="310">
        <v>31</v>
      </c>
      <c r="Z261" t="s">
        <v>85</v>
      </c>
      <c r="AL261" s="198">
        <v>24</v>
      </c>
      <c r="AM261" s="380" t="s">
        <v>312</v>
      </c>
      <c r="AN261" s="381"/>
      <c r="AO261" s="119"/>
      <c r="AP261" s="217"/>
      <c r="BB261" s="206">
        <v>31</v>
      </c>
      <c r="BC261" s="380" t="s">
        <v>312</v>
      </c>
      <c r="BD261" s="381"/>
    </row>
    <row r="262" spans="3:56" ht="15.75" thickBot="1" x14ac:dyDescent="0.25">
      <c r="C262" s="367" t="s">
        <v>82</v>
      </c>
      <c r="D262" s="368"/>
      <c r="E262" s="368"/>
      <c r="F262" s="246"/>
      <c r="G262" s="221"/>
      <c r="H262" s="221"/>
      <c r="I262" s="221"/>
      <c r="J262" s="221"/>
      <c r="K262" s="221"/>
      <c r="L262" s="221"/>
      <c r="M262" s="363"/>
      <c r="N262" s="458"/>
      <c r="O262" s="219"/>
      <c r="P262" s="219"/>
      <c r="Y262" s="310">
        <v>41</v>
      </c>
      <c r="Z262" t="s">
        <v>86</v>
      </c>
      <c r="AL262" s="200">
        <v>28</v>
      </c>
      <c r="AM262" s="378" t="s">
        <v>317</v>
      </c>
      <c r="AN262" s="382"/>
      <c r="AO262" s="119"/>
      <c r="AP262" s="217"/>
      <c r="BB262" s="208">
        <v>36</v>
      </c>
      <c r="BC262" s="378" t="s">
        <v>317</v>
      </c>
      <c r="BD262" s="382"/>
    </row>
    <row r="263" spans="3:56" ht="15.75" thickBot="1" x14ac:dyDescent="0.25">
      <c r="C263" s="367"/>
      <c r="D263" s="368"/>
      <c r="E263" s="368"/>
      <c r="F263" s="247"/>
      <c r="G263" s="221"/>
      <c r="H263" s="221"/>
      <c r="I263" s="221"/>
      <c r="J263" s="221"/>
      <c r="K263" s="221"/>
      <c r="L263" s="221"/>
      <c r="M263" s="363"/>
      <c r="N263" s="458"/>
      <c r="O263" s="219"/>
      <c r="P263" s="219"/>
      <c r="Y263" s="310">
        <v>51</v>
      </c>
      <c r="Z263" t="s">
        <v>88</v>
      </c>
      <c r="AN263" s="106"/>
      <c r="AO263" s="106"/>
      <c r="AP263" s="106"/>
    </row>
    <row r="264" spans="3:56" ht="15.75" thickBot="1" x14ac:dyDescent="0.25">
      <c r="C264" s="370"/>
      <c r="D264" s="371"/>
      <c r="E264" s="371"/>
      <c r="F264" s="282"/>
      <c r="G264" s="279"/>
      <c r="H264" s="279"/>
      <c r="I264" s="279"/>
      <c r="J264" s="279"/>
      <c r="K264" s="279"/>
      <c r="L264" s="279"/>
      <c r="M264" s="413"/>
      <c r="N264" s="459"/>
      <c r="O264" s="219"/>
      <c r="P264" s="219"/>
      <c r="Y264" s="310">
        <v>60</v>
      </c>
      <c r="Z264" t="s">
        <v>89</v>
      </c>
      <c r="AJ264" s="194"/>
      <c r="AK264" s="195"/>
      <c r="AL264" s="192" t="s">
        <v>353</v>
      </c>
      <c r="AN264" s="187"/>
      <c r="AO264" s="187"/>
      <c r="AP264" s="106"/>
      <c r="BB264" s="192" t="s">
        <v>353</v>
      </c>
    </row>
    <row r="265" spans="3:56" ht="15" x14ac:dyDescent="0.2"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AL265" s="205">
        <v>10</v>
      </c>
      <c r="AM265" s="378" t="s">
        <v>141</v>
      </c>
      <c r="AN265" s="379"/>
      <c r="AO265" s="106"/>
      <c r="AP265" s="106"/>
      <c r="BB265" s="205">
        <v>16</v>
      </c>
      <c r="BC265" s="378" t="s">
        <v>141</v>
      </c>
      <c r="BD265" s="379"/>
    </row>
    <row r="266" spans="3:56" ht="15" x14ac:dyDescent="0.2">
      <c r="C266" s="410" t="s">
        <v>84</v>
      </c>
      <c r="D266" s="410"/>
      <c r="E266" s="410"/>
      <c r="F266" s="410"/>
      <c r="G266" s="411" t="str">
        <f>IF(M266&gt;0,VLOOKUP(M266,Y259:AA264,2,TRUE),"-")</f>
        <v>-</v>
      </c>
      <c r="H266" s="412"/>
      <c r="I266" s="219"/>
      <c r="J266" s="219"/>
      <c r="K266" s="410" t="s">
        <v>83</v>
      </c>
      <c r="L266" s="410"/>
      <c r="M266" s="446">
        <f>SUM(N220:N264)</f>
        <v>0</v>
      </c>
      <c r="N266" s="431"/>
      <c r="O266" s="219"/>
      <c r="P266" s="219"/>
      <c r="AL266" s="206">
        <v>16</v>
      </c>
      <c r="AM266" s="380" t="s">
        <v>140</v>
      </c>
      <c r="AN266" s="381"/>
      <c r="AO266" s="106"/>
      <c r="AP266" s="106"/>
      <c r="AW266" s="79" t="str">
        <f>IF(AND(CQ23=0,CS22&lt;=19),VLOOKUP(CU21,CP27:CQ31,2,TRUE),IF(AND(CQ23=0,CS22&lt;=29),VLOOKUP(CU21,CP34:CQ38,2,TRUE),IF(AND(CQ23=0,CS22&lt;=39),VLOOKUP(CU21,CP40:CQ44,2,TRUE),IF(AND(CQ23=0,CS22&lt;=49),VLOOKUP(CU21,CP46:CQ50,2,TRUE),IF(AND(CQ23=0,CS22&lt;=59),VLOOKUP(CU21,CP52:CQ56,2,TRUE),IF(AND(CQ23=0,CS22&lt;=69),VLOOKUP(CU21,CP59:CQ63,2,TRUE),IF(AND(CQ23=1,CS22&lt;=19),VLOOKUP(CU21,CS33:CT37,2,TRUE),IF(AND(CQ23=1,CS22&lt;=29),VLOOKUP(CU21,CS40:CT44,2,TRUE),IF(AND(CQ23=1,CS22&lt;=39),VLOOKUP(CU21,CS46:CT50,2,TRUE),IF(AND(CQ23=1,CS22&lt;=49),VLOOKUP(CU21,CS52:CT56,2,TRUE),IF(AND(CQ23=1,CS22&lt;=59),VLOOKUP(CU21,CS58:CT62,2,TRUE),IF(AND(CQ23=1,CS22&lt;=69),VLOOKUP(CU21,CS65:CT69,2,TRUE),"-"))))))))))))</f>
        <v>-</v>
      </c>
      <c r="BB266" s="206">
        <v>20</v>
      </c>
      <c r="BC266" s="380" t="s">
        <v>140</v>
      </c>
      <c r="BD266" s="381"/>
    </row>
    <row r="267" spans="3:56" ht="15" x14ac:dyDescent="0.2"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AL267" s="207">
        <v>19</v>
      </c>
      <c r="AM267" s="378" t="s">
        <v>298</v>
      </c>
      <c r="AN267" s="382"/>
      <c r="AO267" s="106"/>
      <c r="AP267" s="106"/>
      <c r="BB267" s="207">
        <v>24</v>
      </c>
      <c r="BC267" s="378" t="s">
        <v>298</v>
      </c>
      <c r="BD267" s="382"/>
    </row>
    <row r="268" spans="3:56" ht="15" x14ac:dyDescent="0.2"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AL268" s="206">
        <v>21</v>
      </c>
      <c r="AM268" s="380" t="s">
        <v>303</v>
      </c>
      <c r="AN268" s="381"/>
      <c r="AO268" s="106"/>
      <c r="AP268" s="106"/>
      <c r="BB268" s="206">
        <v>27</v>
      </c>
      <c r="BC268" s="380" t="s">
        <v>303</v>
      </c>
      <c r="BD268" s="381"/>
    </row>
    <row r="269" spans="3:56" ht="15" x14ac:dyDescent="0.2">
      <c r="C269" s="362" t="s">
        <v>213</v>
      </c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AL269" s="207">
        <v>24</v>
      </c>
      <c r="AM269" s="378" t="s">
        <v>307</v>
      </c>
      <c r="AN269" s="382"/>
      <c r="AO269" s="106"/>
      <c r="AP269" s="106"/>
      <c r="BB269" s="207">
        <v>30</v>
      </c>
      <c r="BC269" s="378" t="s">
        <v>307</v>
      </c>
      <c r="BD269" s="382"/>
    </row>
    <row r="270" spans="3:56" ht="15" x14ac:dyDescent="0.2">
      <c r="C270" s="238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7"/>
      <c r="AL270" s="206">
        <v>27</v>
      </c>
      <c r="AM270" s="380" t="s">
        <v>312</v>
      </c>
      <c r="AN270" s="381"/>
      <c r="AO270" s="106"/>
      <c r="AP270" s="106"/>
      <c r="AU270" t="str">
        <f>IF(AND(CO27=0,CQ26&lt;=19),VLOOKUP(CS25,CN31:CO35,2,TRUE),IF(AND(CO27=0,CQ26&lt;=29),VLOOKUP(CS25,CN38:CO42,2,TRUE),IF(AND(CO27=0,CQ26&lt;=39),VLOOKUP(CS25,CN44:CO48,2,TRUE),IF(AND(CO27=0,CQ26&lt;=49),VLOOKUP(CS25,CN50:CO54,2,TRUE),IF(AND(CO27=0,CQ26&lt;=59),VLOOKUP(CS25,CN56:CO60,2,TRUE),IF(AND(CO27=0,CQ26&lt;=69),VLOOKUP(CS25,CN63:CO67,2,TRUE),IF(AND(CO27=1,CQ26&lt;=19),VLOOKUP(CS25,CQ37:CR41,2,TRUE),IF(AND(CO27=1,CQ26&lt;=29),VLOOKUP(CS25,CQ44:CR48,2,TRUE),IF(AND(CO27=1,CQ26&lt;=39),VLOOKUP(CS25,CQ50:CR54,2,TRUE),IF(AND(CO27=1,CQ26&lt;=49),VLOOKUP(CS25,CQ56:CR60,2,TRUE),IF(AND(CO27=1,CQ26&lt;=59),VLOOKUP(CS25,CQ62:CR66,2,TRUE),IF(AND(CO27=1,CQ26&lt;=69),VLOOKUP(CS25,CQ69:CR73,2,TRUE),"-"))))))))))))</f>
        <v>-</v>
      </c>
      <c r="BB270" s="206">
        <v>33</v>
      </c>
      <c r="BC270" s="380" t="s">
        <v>312</v>
      </c>
      <c r="BD270" s="381"/>
    </row>
    <row r="271" spans="3:56" ht="15.75" thickBot="1" x14ac:dyDescent="0.25">
      <c r="C271" s="240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78"/>
      <c r="AL271" s="208">
        <v>30</v>
      </c>
      <c r="AM271" s="378" t="s">
        <v>317</v>
      </c>
      <c r="AN271" s="382"/>
      <c r="AO271" s="106"/>
      <c r="AP271" s="106"/>
      <c r="BB271" s="208">
        <v>38</v>
      </c>
      <c r="BC271" s="378" t="s">
        <v>317</v>
      </c>
      <c r="BD271" s="382"/>
    </row>
    <row r="272" spans="3:56" ht="15.75" thickBot="1" x14ac:dyDescent="0.25">
      <c r="C272" s="240"/>
      <c r="D272" s="221"/>
      <c r="E272" s="221"/>
      <c r="F272" s="221"/>
      <c r="G272" s="221"/>
      <c r="H272" s="377" t="s">
        <v>149</v>
      </c>
      <c r="I272" s="377"/>
      <c r="J272" s="377"/>
      <c r="K272" s="377"/>
      <c r="L272" s="313"/>
      <c r="M272" s="221"/>
      <c r="N272" s="221"/>
      <c r="O272" s="221"/>
      <c r="P272" s="278"/>
      <c r="AN272" s="106"/>
      <c r="AO272" s="106"/>
      <c r="AP272" s="106"/>
    </row>
    <row r="273" spans="3:56" ht="15.75" thickBot="1" x14ac:dyDescent="0.25">
      <c r="C273" s="240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78"/>
      <c r="AJ273" s="194"/>
      <c r="AK273" s="195"/>
      <c r="AL273" s="192" t="s">
        <v>354</v>
      </c>
      <c r="AN273" s="187"/>
      <c r="AO273" s="187"/>
      <c r="AP273" s="106"/>
      <c r="BB273" s="192" t="s">
        <v>354</v>
      </c>
    </row>
    <row r="274" spans="3:56" ht="15" x14ac:dyDescent="0.2">
      <c r="C274" s="240"/>
      <c r="D274" s="221"/>
      <c r="E274" s="221"/>
      <c r="F274" s="221"/>
      <c r="G274" s="221"/>
      <c r="H274" s="221"/>
      <c r="I274" s="221"/>
      <c r="J274" s="307" t="s">
        <v>150</v>
      </c>
      <c r="K274" s="221"/>
      <c r="L274" s="232" t="str">
        <f>IF(L272="","-",'Avaliação Física 2'!CH20)</f>
        <v>-</v>
      </c>
      <c r="M274" s="221"/>
      <c r="N274" s="221"/>
      <c r="O274" s="221"/>
      <c r="P274" s="278"/>
      <c r="AL274" s="205">
        <v>12</v>
      </c>
      <c r="AM274" s="378" t="s">
        <v>141</v>
      </c>
      <c r="AN274" s="379"/>
      <c r="AO274" s="106"/>
      <c r="AP274" s="106"/>
      <c r="BB274" s="205">
        <v>14</v>
      </c>
      <c r="BC274" s="378" t="s">
        <v>141</v>
      </c>
      <c r="BD274" s="379"/>
    </row>
    <row r="275" spans="3:56" ht="15" x14ac:dyDescent="0.2">
      <c r="C275" s="240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78"/>
      <c r="AL275" s="206">
        <v>18</v>
      </c>
      <c r="AM275" s="380" t="s">
        <v>140</v>
      </c>
      <c r="AN275" s="381"/>
      <c r="AO275" s="106"/>
      <c r="AP275" s="106"/>
      <c r="BB275" s="206">
        <v>23</v>
      </c>
      <c r="BC275" s="380" t="s">
        <v>140</v>
      </c>
      <c r="BD275" s="381"/>
    </row>
    <row r="276" spans="3:56" ht="15" x14ac:dyDescent="0.2">
      <c r="C276" s="241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80"/>
      <c r="AL276" s="207">
        <v>21</v>
      </c>
      <c r="AM276" s="378" t="s">
        <v>298</v>
      </c>
      <c r="AN276" s="382"/>
      <c r="AO276" s="106"/>
      <c r="AP276" s="106"/>
      <c r="BB276" s="207">
        <v>26</v>
      </c>
      <c r="BC276" s="378" t="s">
        <v>298</v>
      </c>
      <c r="BD276" s="382"/>
    </row>
    <row r="277" spans="3:56" ht="15" x14ac:dyDescent="0.2">
      <c r="AL277" s="206">
        <v>24</v>
      </c>
      <c r="AM277" s="380" t="s">
        <v>303</v>
      </c>
      <c r="AN277" s="381"/>
      <c r="AO277" s="106"/>
      <c r="AP277" s="106"/>
      <c r="BB277" s="206">
        <v>29</v>
      </c>
      <c r="BC277" s="380" t="s">
        <v>303</v>
      </c>
      <c r="BD277" s="381"/>
    </row>
    <row r="278" spans="3:56" ht="15" x14ac:dyDescent="0.2">
      <c r="C278" s="362" t="s">
        <v>214</v>
      </c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AL278" s="207">
        <v>26</v>
      </c>
      <c r="AM278" s="378" t="s">
        <v>307</v>
      </c>
      <c r="AN278" s="382"/>
      <c r="AO278" s="106"/>
      <c r="AP278" s="106"/>
      <c r="BB278" s="207">
        <v>32</v>
      </c>
      <c r="BC278" s="378" t="s">
        <v>307</v>
      </c>
      <c r="BD278" s="382"/>
    </row>
    <row r="279" spans="3:56" ht="15" x14ac:dyDescent="0.2">
      <c r="C279" s="238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7"/>
      <c r="AL279" s="206">
        <v>28</v>
      </c>
      <c r="AM279" s="380" t="s">
        <v>312</v>
      </c>
      <c r="AN279" s="381"/>
      <c r="AO279" s="106"/>
      <c r="AP279" s="106"/>
      <c r="BB279" s="206">
        <v>35</v>
      </c>
      <c r="BC279" s="380" t="s">
        <v>312</v>
      </c>
      <c r="BD279" s="381"/>
    </row>
    <row r="280" spans="3:56" ht="15.75" thickBot="1" x14ac:dyDescent="0.25">
      <c r="C280" s="240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78"/>
      <c r="AL280" s="208">
        <v>32</v>
      </c>
      <c r="AM280" s="378" t="s">
        <v>317</v>
      </c>
      <c r="AN280" s="382"/>
      <c r="AO280" s="106"/>
      <c r="AP280" s="106"/>
      <c r="BB280" s="208">
        <v>39</v>
      </c>
      <c r="BC280" s="378" t="s">
        <v>317</v>
      </c>
      <c r="BD280" s="382"/>
    </row>
    <row r="281" spans="3:56" ht="15.75" thickBot="1" x14ac:dyDescent="0.25">
      <c r="C281" s="240"/>
      <c r="D281" s="221"/>
      <c r="E281" s="221"/>
      <c r="F281" s="221"/>
      <c r="G281" s="221"/>
      <c r="H281" s="377" t="s">
        <v>149</v>
      </c>
      <c r="I281" s="377"/>
      <c r="J281" s="377"/>
      <c r="K281" s="377"/>
      <c r="L281" s="313"/>
      <c r="M281" s="221"/>
      <c r="N281" s="221"/>
      <c r="O281" s="221"/>
      <c r="P281" s="278"/>
      <c r="AN281" s="106"/>
      <c r="AO281" s="106"/>
      <c r="AP281" s="106"/>
    </row>
    <row r="282" spans="3:56" ht="15.75" thickBot="1" x14ac:dyDescent="0.25">
      <c r="C282" s="240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78"/>
      <c r="AJ282" s="194"/>
      <c r="AK282" s="195"/>
      <c r="AL282" s="192" t="s">
        <v>355</v>
      </c>
      <c r="AN282" s="187"/>
      <c r="AO282" s="187"/>
      <c r="AP282" s="106"/>
      <c r="BB282" s="192" t="s">
        <v>355</v>
      </c>
    </row>
    <row r="283" spans="3:56" ht="15" x14ac:dyDescent="0.2">
      <c r="C283" s="240"/>
      <c r="D283" s="221"/>
      <c r="E283" s="221"/>
      <c r="F283" s="221"/>
      <c r="G283" s="221"/>
      <c r="H283" s="221"/>
      <c r="I283" s="221"/>
      <c r="J283" s="307" t="s">
        <v>150</v>
      </c>
      <c r="K283" s="307"/>
      <c r="L283" s="232" t="str">
        <f>IF(L281="","-",'Avaliação Física 2'!CH12)</f>
        <v>-</v>
      </c>
      <c r="M283" s="221"/>
      <c r="N283" s="221"/>
      <c r="O283" s="221"/>
      <c r="P283" s="278"/>
      <c r="AL283" s="205">
        <v>13</v>
      </c>
      <c r="AM283" s="378" t="s">
        <v>141</v>
      </c>
      <c r="AN283" s="379"/>
      <c r="AO283" s="106"/>
      <c r="AP283" s="106"/>
      <c r="BB283" s="205">
        <v>18</v>
      </c>
      <c r="BC283" s="378" t="s">
        <v>141</v>
      </c>
      <c r="BD283" s="379"/>
    </row>
    <row r="284" spans="3:56" ht="15" x14ac:dyDescent="0.2">
      <c r="C284" s="240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78"/>
      <c r="AL284" s="206">
        <v>20</v>
      </c>
      <c r="AM284" s="380" t="s">
        <v>140</v>
      </c>
      <c r="AN284" s="381"/>
      <c r="AO284" s="106"/>
      <c r="AP284" s="106"/>
      <c r="BB284" s="206">
        <v>25</v>
      </c>
      <c r="BC284" s="380" t="s">
        <v>140</v>
      </c>
      <c r="BD284" s="381"/>
    </row>
    <row r="285" spans="3:56" ht="15" x14ac:dyDescent="0.2">
      <c r="C285" s="241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80"/>
      <c r="AL285" s="207">
        <v>22</v>
      </c>
      <c r="AM285" s="378" t="s">
        <v>298</v>
      </c>
      <c r="AN285" s="382"/>
      <c r="AO285" s="106"/>
      <c r="AP285" s="106"/>
      <c r="BB285" s="207">
        <v>27</v>
      </c>
      <c r="BC285" s="378" t="s">
        <v>298</v>
      </c>
      <c r="BD285" s="382"/>
    </row>
    <row r="286" spans="3:56" ht="15" x14ac:dyDescent="0.2">
      <c r="O286" s="91"/>
      <c r="AL286" s="206">
        <v>24</v>
      </c>
      <c r="AM286" s="380" t="s">
        <v>303</v>
      </c>
      <c r="AN286" s="381"/>
      <c r="AO286" s="106"/>
      <c r="AP286" s="106"/>
      <c r="BB286" s="206">
        <v>30</v>
      </c>
      <c r="BC286" s="380" t="s">
        <v>303</v>
      </c>
      <c r="BD286" s="381"/>
    </row>
    <row r="287" spans="3:56" ht="15" x14ac:dyDescent="0.2">
      <c r="C287" s="362" t="s">
        <v>230</v>
      </c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AL287" s="207">
        <v>26</v>
      </c>
      <c r="AM287" s="378" t="s">
        <v>307</v>
      </c>
      <c r="AN287" s="382"/>
      <c r="AO287" s="106"/>
      <c r="AP287" s="106"/>
      <c r="BB287" s="207">
        <v>33</v>
      </c>
      <c r="BC287" s="378" t="s">
        <v>307</v>
      </c>
      <c r="BD287" s="382"/>
    </row>
    <row r="288" spans="3:56" ht="15" x14ac:dyDescent="0.2">
      <c r="C288" s="238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7"/>
      <c r="AL288" s="206">
        <v>28</v>
      </c>
      <c r="AM288" s="380" t="s">
        <v>312</v>
      </c>
      <c r="AN288" s="381"/>
      <c r="AO288" s="106"/>
      <c r="AP288" s="106"/>
      <c r="BB288" s="206">
        <v>36</v>
      </c>
      <c r="BC288" s="380" t="s">
        <v>312</v>
      </c>
      <c r="BD288" s="381"/>
    </row>
    <row r="289" spans="3:56" ht="15.75" thickBot="1" x14ac:dyDescent="0.25">
      <c r="C289" s="491" t="s">
        <v>275</v>
      </c>
      <c r="D289" s="492"/>
      <c r="E289" s="492"/>
      <c r="F289" s="492"/>
      <c r="G289" s="221"/>
      <c r="H289" s="355" t="s">
        <v>231</v>
      </c>
      <c r="I289" s="355"/>
      <c r="J289" s="221"/>
      <c r="K289" s="355" t="s">
        <v>198</v>
      </c>
      <c r="L289" s="355"/>
      <c r="M289" s="355"/>
      <c r="N289" s="355"/>
      <c r="O289" s="221"/>
      <c r="P289" s="278"/>
      <c r="T289" s="21"/>
      <c r="AL289" s="208">
        <v>32</v>
      </c>
      <c r="AM289" s="378" t="s">
        <v>317</v>
      </c>
      <c r="AN289" s="382"/>
      <c r="AO289" s="106"/>
      <c r="AP289" s="106"/>
      <c r="BB289" s="208">
        <v>39</v>
      </c>
      <c r="BC289" s="378" t="s">
        <v>317</v>
      </c>
      <c r="BD289" s="382"/>
    </row>
    <row r="290" spans="3:56" ht="15.75" thickBot="1" x14ac:dyDescent="0.25">
      <c r="C290" s="240"/>
      <c r="D290" s="414"/>
      <c r="E290" s="415"/>
      <c r="F290" s="221"/>
      <c r="G290" s="221"/>
      <c r="H290" s="444" t="str">
        <f>IF(D290="","-",((D290/1000)*60)/12)</f>
        <v>-</v>
      </c>
      <c r="I290" s="445"/>
      <c r="J290" s="221"/>
      <c r="K290" s="221"/>
      <c r="L290" s="427" t="str">
        <f>IF(D290="","-",('Avaliação Física 2'!D290-504)/45)</f>
        <v>-</v>
      </c>
      <c r="M290" s="428"/>
      <c r="N290" s="429"/>
      <c r="O290" s="221"/>
      <c r="P290" s="278"/>
      <c r="AN290" s="106"/>
      <c r="AO290" s="106"/>
      <c r="AP290" s="106"/>
    </row>
    <row r="291" spans="3:56" ht="15.75" thickBot="1" x14ac:dyDescent="0.25">
      <c r="C291" s="240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78"/>
      <c r="AJ291" s="194"/>
      <c r="AK291" s="195"/>
      <c r="AL291" s="192" t="s">
        <v>356</v>
      </c>
      <c r="AN291" s="187"/>
      <c r="AO291" s="187"/>
      <c r="AP291" s="106"/>
      <c r="BB291" s="192" t="s">
        <v>356</v>
      </c>
    </row>
    <row r="292" spans="3:56" ht="15" x14ac:dyDescent="0.2">
      <c r="C292" s="240"/>
      <c r="D292" s="355" t="s">
        <v>232</v>
      </c>
      <c r="E292" s="355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78"/>
      <c r="AL292" s="205">
        <v>14</v>
      </c>
      <c r="AM292" s="378" t="s">
        <v>141</v>
      </c>
      <c r="AN292" s="379"/>
      <c r="AO292" s="106"/>
      <c r="AP292" s="106"/>
      <c r="BB292" s="205">
        <v>16</v>
      </c>
      <c r="BC292" s="378" t="s">
        <v>141</v>
      </c>
      <c r="BD292" s="379"/>
    </row>
    <row r="293" spans="3:56" ht="15" x14ac:dyDescent="0.2">
      <c r="C293" s="240"/>
      <c r="D293" s="430" t="str">
        <f>IF(D290="","-",DN12)</f>
        <v>-</v>
      </c>
      <c r="E293" s="43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78"/>
      <c r="AL293" s="206">
        <v>19</v>
      </c>
      <c r="AM293" s="380" t="s">
        <v>140</v>
      </c>
      <c r="AN293" s="381"/>
      <c r="AO293" s="106"/>
      <c r="AP293" s="106"/>
      <c r="BB293" s="206">
        <v>22</v>
      </c>
      <c r="BC293" s="380" t="s">
        <v>140</v>
      </c>
      <c r="BD293" s="381"/>
    </row>
    <row r="294" spans="3:56" ht="15" x14ac:dyDescent="0.2">
      <c r="C294" s="241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80"/>
      <c r="AL294" s="207">
        <v>22</v>
      </c>
      <c r="AM294" s="378" t="s">
        <v>298</v>
      </c>
      <c r="AN294" s="382"/>
      <c r="BB294" s="207">
        <v>27</v>
      </c>
      <c r="BC294" s="378" t="s">
        <v>298</v>
      </c>
      <c r="BD294" s="382"/>
    </row>
    <row r="295" spans="3:56" ht="15" x14ac:dyDescent="0.2">
      <c r="AL295" s="206">
        <v>23</v>
      </c>
      <c r="AM295" s="380" t="s">
        <v>303</v>
      </c>
      <c r="AN295" s="381"/>
      <c r="BB295" s="206">
        <v>30</v>
      </c>
      <c r="BC295" s="380" t="s">
        <v>303</v>
      </c>
      <c r="BD295" s="381"/>
    </row>
    <row r="296" spans="3:56" ht="15" x14ac:dyDescent="0.2">
      <c r="C296" s="362" t="s">
        <v>223</v>
      </c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AL296" s="207">
        <v>25</v>
      </c>
      <c r="AM296" s="378" t="s">
        <v>307</v>
      </c>
      <c r="AN296" s="382"/>
      <c r="BB296" s="207">
        <v>32</v>
      </c>
      <c r="BC296" s="378" t="s">
        <v>307</v>
      </c>
      <c r="BD296" s="382"/>
    </row>
    <row r="297" spans="3:56" ht="15" x14ac:dyDescent="0.2">
      <c r="C297" s="447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9"/>
      <c r="Q297" s="93"/>
      <c r="R297" s="94"/>
      <c r="S297" s="94"/>
      <c r="T297" s="95"/>
      <c r="U297" s="95"/>
      <c r="V297" s="95"/>
      <c r="W297" s="95"/>
      <c r="AA297" s="95"/>
      <c r="AL297" s="206">
        <v>27</v>
      </c>
      <c r="AM297" s="380" t="s">
        <v>312</v>
      </c>
      <c r="AN297" s="381"/>
      <c r="BB297" s="206">
        <v>35</v>
      </c>
      <c r="BC297" s="380" t="s">
        <v>312</v>
      </c>
      <c r="BD297" s="381"/>
    </row>
    <row r="298" spans="3:56" ht="15.75" thickBot="1" x14ac:dyDescent="0.25">
      <c r="C298" s="450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2"/>
      <c r="Q298" s="93"/>
      <c r="R298" s="94"/>
      <c r="S298" s="94"/>
      <c r="T298" s="95"/>
      <c r="U298" s="95"/>
      <c r="V298" s="95"/>
      <c r="W298" s="95"/>
      <c r="AA298" s="95"/>
      <c r="AL298" s="208">
        <v>31</v>
      </c>
      <c r="AM298" s="378" t="s">
        <v>317</v>
      </c>
      <c r="AN298" s="382"/>
      <c r="BB298" s="208">
        <v>38</v>
      </c>
      <c r="BC298" s="378" t="s">
        <v>317</v>
      </c>
      <c r="BD298" s="382"/>
    </row>
    <row r="299" spans="3:56" ht="15" x14ac:dyDescent="0.2">
      <c r="C299" s="450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2"/>
      <c r="Q299" s="93"/>
      <c r="R299" s="94"/>
      <c r="S299" s="94"/>
      <c r="T299" s="99"/>
      <c r="U299" s="95"/>
      <c r="V299" s="95"/>
      <c r="W299" s="95"/>
      <c r="AA299" s="95"/>
    </row>
    <row r="300" spans="3:56" ht="15" x14ac:dyDescent="0.2">
      <c r="C300" s="450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2"/>
      <c r="Q300" s="96"/>
      <c r="R300" s="94"/>
      <c r="S300" s="94"/>
      <c r="T300" s="95"/>
      <c r="U300" s="95"/>
      <c r="V300" s="95"/>
      <c r="W300" s="95"/>
      <c r="AA300" s="95"/>
    </row>
    <row r="301" spans="3:56" ht="15" x14ac:dyDescent="0.2">
      <c r="C301" s="450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2"/>
      <c r="Q301" s="93"/>
      <c r="R301" s="94"/>
      <c r="S301" s="94"/>
      <c r="T301" s="95"/>
      <c r="U301" s="95"/>
      <c r="V301" s="95"/>
      <c r="W301" s="95"/>
      <c r="X301" s="95"/>
      <c r="Y301" s="95"/>
      <c r="Z301" s="95"/>
      <c r="AA301" s="95"/>
    </row>
    <row r="302" spans="3:56" ht="15" x14ac:dyDescent="0.2">
      <c r="C302" s="450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2"/>
      <c r="Q302" s="93"/>
      <c r="R302" s="94"/>
      <c r="S302" s="94"/>
      <c r="T302" s="95"/>
      <c r="U302" s="95"/>
      <c r="V302" s="95"/>
      <c r="W302" s="95"/>
      <c r="X302" s="95"/>
      <c r="Y302" s="95"/>
      <c r="Z302" s="95"/>
      <c r="AA302" s="95"/>
    </row>
    <row r="303" spans="3:56" ht="15" x14ac:dyDescent="0.2">
      <c r="C303" s="450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2"/>
      <c r="Q303" s="93"/>
      <c r="R303" s="94"/>
      <c r="S303" s="94"/>
      <c r="T303" s="95"/>
      <c r="U303" s="95"/>
      <c r="V303" s="95"/>
      <c r="W303" s="95"/>
      <c r="X303" s="95"/>
      <c r="Y303" s="95"/>
      <c r="Z303" s="95"/>
      <c r="AA303" s="95"/>
    </row>
    <row r="304" spans="3:56" ht="15" x14ac:dyDescent="0.2">
      <c r="C304" s="450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2"/>
      <c r="Q304" s="93"/>
      <c r="R304" s="94"/>
      <c r="S304" s="94"/>
      <c r="T304" s="95"/>
      <c r="U304" s="95"/>
      <c r="V304" s="95"/>
      <c r="W304" s="95"/>
      <c r="X304" s="408"/>
      <c r="Y304" s="409"/>
      <c r="Z304" s="95"/>
      <c r="AA304" s="95"/>
    </row>
    <row r="305" spans="3:27" ht="15" x14ac:dyDescent="0.2">
      <c r="C305" s="450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2"/>
      <c r="Q305" s="93"/>
      <c r="R305" s="94"/>
      <c r="S305" s="94"/>
      <c r="T305" s="95"/>
      <c r="U305" s="95"/>
      <c r="V305" s="95"/>
      <c r="W305" s="95"/>
      <c r="X305" s="95"/>
      <c r="Y305" s="95"/>
      <c r="Z305" s="95"/>
      <c r="AA305" s="95"/>
    </row>
    <row r="306" spans="3:27" ht="15" x14ac:dyDescent="0.2">
      <c r="C306" s="450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2"/>
      <c r="Q306" s="93"/>
      <c r="R306" s="94"/>
      <c r="S306" s="94"/>
      <c r="T306" s="95"/>
      <c r="U306" s="95"/>
      <c r="V306" s="95"/>
      <c r="W306" s="95"/>
      <c r="X306" s="95"/>
      <c r="Y306" s="95"/>
      <c r="Z306" s="95"/>
      <c r="AA306" s="95"/>
    </row>
    <row r="307" spans="3:27" ht="15" x14ac:dyDescent="0.2">
      <c r="C307" s="450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2"/>
      <c r="Q307" s="93"/>
      <c r="R307" s="94"/>
      <c r="S307" s="94"/>
      <c r="T307" s="95"/>
      <c r="U307" s="95"/>
      <c r="V307" s="95"/>
      <c r="W307" s="95"/>
      <c r="X307" s="95"/>
      <c r="Y307" s="95"/>
      <c r="Z307" s="95"/>
      <c r="AA307" s="95"/>
    </row>
    <row r="308" spans="3:27" ht="15" x14ac:dyDescent="0.2">
      <c r="C308" s="450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2"/>
      <c r="Q308" s="93"/>
      <c r="R308" s="94"/>
      <c r="S308" s="94"/>
      <c r="T308" s="95"/>
      <c r="U308" s="95"/>
      <c r="V308" s="95"/>
      <c r="W308" s="95"/>
      <c r="X308" s="95"/>
      <c r="Y308" s="95"/>
      <c r="Z308" s="95"/>
      <c r="AA308" s="95"/>
    </row>
    <row r="309" spans="3:27" ht="15" x14ac:dyDescent="0.2">
      <c r="C309" s="450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2"/>
      <c r="Q309" s="93"/>
      <c r="R309" s="94"/>
      <c r="S309" s="94"/>
      <c r="T309" s="95"/>
      <c r="U309" s="95"/>
      <c r="V309" s="95"/>
      <c r="W309" s="95"/>
      <c r="X309" s="95"/>
      <c r="Y309" s="95"/>
      <c r="Z309" s="95"/>
      <c r="AA309" s="95"/>
    </row>
    <row r="310" spans="3:27" ht="15" x14ac:dyDescent="0.2">
      <c r="C310" s="450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2"/>
      <c r="Q310" s="93"/>
      <c r="R310" s="94"/>
      <c r="S310" s="94"/>
      <c r="T310" s="95"/>
      <c r="U310" s="95"/>
      <c r="V310" s="95"/>
      <c r="W310" s="95"/>
      <c r="X310" s="95"/>
      <c r="Y310" s="95"/>
      <c r="Z310" s="95"/>
      <c r="AA310" s="95"/>
    </row>
    <row r="311" spans="3:27" ht="15" x14ac:dyDescent="0.2">
      <c r="C311" s="450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2"/>
      <c r="Q311" s="93"/>
      <c r="R311" s="96"/>
      <c r="S311" s="94"/>
      <c r="T311" s="97"/>
      <c r="U311" s="97"/>
      <c r="V311" s="97"/>
      <c r="W311" s="97"/>
      <c r="X311" s="100"/>
      <c r="Y311" s="100"/>
      <c r="Z311" s="95"/>
      <c r="AA311" s="97"/>
    </row>
    <row r="312" spans="3:27" ht="15" x14ac:dyDescent="0.2">
      <c r="C312" s="450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2"/>
      <c r="Q312" s="93"/>
      <c r="R312" s="96"/>
      <c r="S312" s="96"/>
      <c r="T312" s="96"/>
      <c r="U312" s="96"/>
      <c r="V312" s="96"/>
      <c r="W312" s="311"/>
      <c r="X312" s="95"/>
      <c r="Y312" s="95"/>
      <c r="Z312" s="95"/>
      <c r="AA312" s="97"/>
    </row>
    <row r="313" spans="3:27" ht="15" x14ac:dyDescent="0.2">
      <c r="C313" s="450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2"/>
      <c r="Q313" s="93"/>
      <c r="R313" s="94"/>
      <c r="S313" s="94"/>
      <c r="T313" s="97"/>
      <c r="U313" s="97"/>
      <c r="V313" s="97"/>
      <c r="W313" s="97"/>
      <c r="X313" s="95"/>
      <c r="Y313" s="95"/>
      <c r="Z313" s="95"/>
      <c r="AA313" s="97"/>
    </row>
    <row r="314" spans="3:27" ht="15" x14ac:dyDescent="0.2">
      <c r="C314" s="450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2"/>
      <c r="Q314" s="93"/>
      <c r="R314" s="94"/>
      <c r="S314" s="94"/>
      <c r="T314" s="97"/>
      <c r="U314" s="97"/>
      <c r="V314" s="97"/>
      <c r="W314" s="97"/>
      <c r="X314" s="95"/>
      <c r="Y314" s="95"/>
      <c r="Z314" s="95"/>
      <c r="AA314" s="97"/>
    </row>
    <row r="315" spans="3:27" ht="15" x14ac:dyDescent="0.2">
      <c r="C315" s="450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2"/>
      <c r="Q315" s="93"/>
      <c r="R315" s="94"/>
      <c r="S315" s="94"/>
      <c r="T315" s="97"/>
      <c r="U315" s="97"/>
      <c r="V315" s="97"/>
      <c r="W315" s="97"/>
      <c r="X315" s="441"/>
      <c r="Y315" s="441"/>
      <c r="Z315" s="96"/>
      <c r="AA315" s="97"/>
    </row>
    <row r="316" spans="3:27" ht="15" x14ac:dyDescent="0.2">
      <c r="C316" s="453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5"/>
      <c r="Q316" s="93"/>
      <c r="R316" s="94"/>
      <c r="S316" s="94"/>
      <c r="T316" s="97"/>
      <c r="U316" s="97"/>
      <c r="V316" s="97"/>
      <c r="W316" s="97"/>
      <c r="X316" s="97"/>
      <c r="Y316" s="97"/>
      <c r="Z316" s="97"/>
      <c r="AA316" s="97"/>
    </row>
    <row r="317" spans="3:27" ht="15" x14ac:dyDescent="0.2">
      <c r="O317" s="103"/>
      <c r="P317" s="103"/>
      <c r="Q317" s="103"/>
      <c r="R317" s="103"/>
      <c r="S317" s="103"/>
      <c r="T317" s="103"/>
      <c r="U317" s="103"/>
      <c r="V317" s="103"/>
      <c r="W317" s="103"/>
      <c r="X317" s="93"/>
      <c r="Y317" s="97"/>
      <c r="Z317" s="97"/>
      <c r="AA317" s="95"/>
    </row>
    <row r="318" spans="3:27" ht="15" x14ac:dyDescent="0.2">
      <c r="D318" s="442" t="s">
        <v>215</v>
      </c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103"/>
      <c r="P318" s="103"/>
      <c r="Q318" s="103"/>
      <c r="R318" s="103"/>
      <c r="S318" s="103"/>
      <c r="T318" s="103"/>
      <c r="U318" s="103"/>
      <c r="V318" s="103"/>
      <c r="W318" s="103"/>
      <c r="X318" s="93"/>
      <c r="Y318" s="97"/>
      <c r="Z318" s="97"/>
      <c r="AA318" s="95"/>
    </row>
    <row r="319" spans="3:27" ht="15" x14ac:dyDescent="0.2">
      <c r="D319" s="442" t="s">
        <v>216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104"/>
      <c r="P319" s="104"/>
      <c r="Q319" s="104"/>
      <c r="R319" s="104"/>
      <c r="S319" s="104"/>
      <c r="T319" s="104"/>
      <c r="U319" s="104"/>
      <c r="V319" s="104"/>
      <c r="W319" s="104"/>
      <c r="X319" s="93"/>
      <c r="Y319" s="97"/>
      <c r="Z319" s="97"/>
      <c r="AA319" s="101"/>
    </row>
    <row r="320" spans="3:27" ht="15" x14ac:dyDescent="0.2">
      <c r="D320" s="443" t="s">
        <v>217</v>
      </c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101"/>
      <c r="P320" s="101"/>
      <c r="Q320" s="101"/>
      <c r="R320" s="101"/>
      <c r="S320" s="101"/>
      <c r="T320" s="101"/>
      <c r="U320" s="101"/>
      <c r="V320" s="101"/>
      <c r="W320" s="101"/>
      <c r="X320" s="93"/>
      <c r="Y320" s="97"/>
      <c r="Z320" s="97"/>
      <c r="AA320" s="101"/>
    </row>
    <row r="321" spans="4:27" ht="15" x14ac:dyDescent="0.2"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3"/>
      <c r="Y321" s="103"/>
      <c r="Z321" s="103"/>
      <c r="AA321" s="101"/>
    </row>
    <row r="322" spans="4:27" ht="15" x14ac:dyDescent="0.2">
      <c r="D322" s="101"/>
      <c r="E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3"/>
      <c r="Y322" s="103"/>
      <c r="Z322" s="103"/>
      <c r="AA322" s="101"/>
    </row>
    <row r="323" spans="4:27" ht="15" x14ac:dyDescent="0.2">
      <c r="F323" s="404"/>
      <c r="G323" s="404"/>
      <c r="H323" s="404"/>
      <c r="I323" s="404"/>
      <c r="J323" s="404"/>
      <c r="K323" s="404"/>
      <c r="L323" s="404"/>
      <c r="X323" s="104"/>
      <c r="Y323" s="104"/>
      <c r="Z323" s="104"/>
    </row>
    <row r="324" spans="4:27" ht="15" x14ac:dyDescent="0.2">
      <c r="X324" s="101"/>
      <c r="Y324" s="101"/>
      <c r="Z324" s="101"/>
    </row>
    <row r="325" spans="4:27" ht="15" hidden="1" x14ac:dyDescent="0.2">
      <c r="X325" s="101"/>
      <c r="Y325" s="101"/>
      <c r="Z325" s="101"/>
    </row>
    <row r="326" spans="4:27" ht="15" hidden="1" x14ac:dyDescent="0.2">
      <c r="X326" s="101"/>
      <c r="Y326" s="101"/>
      <c r="Z326" s="101"/>
    </row>
    <row r="327" spans="4:27" ht="15" hidden="1" x14ac:dyDescent="0.2"/>
    <row r="328" spans="4:27" ht="15" hidden="1" x14ac:dyDescent="0.2"/>
  </sheetData>
  <sheetProtection algorithmName="SHA-512" hashValue="ymtu7q6rHvwbbnVFbUEP+YNa3L2SsNCMHes9w56xhhCGEipwnBcRK3DxkruCbcVPqbtMnukYG2SZa3+VZZSQMw==" saltValue="cvtzANZIBEOqHEFNqE2jQQ==" spinCount="100000" sheet="1" formatCells="0" selectLockedCells="1"/>
  <mergeCells count="339">
    <mergeCell ref="K6:M6"/>
    <mergeCell ref="C7:P7"/>
    <mergeCell ref="ED8:EE8"/>
    <mergeCell ref="D9:H9"/>
    <mergeCell ref="DT9:DU9"/>
    <mergeCell ref="DX9:DY9"/>
    <mergeCell ref="EL12:EN12"/>
    <mergeCell ref="DT14:DV14"/>
    <mergeCell ref="D15:F15"/>
    <mergeCell ref="H15:J15"/>
    <mergeCell ref="DT15:DU15"/>
    <mergeCell ref="EL15:EN15"/>
    <mergeCell ref="DT10:DV10"/>
    <mergeCell ref="EB10:ED10"/>
    <mergeCell ref="DT11:DU11"/>
    <mergeCell ref="DX11:DY11"/>
    <mergeCell ref="EB11:ED11"/>
    <mergeCell ref="D12:H12"/>
    <mergeCell ref="J12:L12"/>
    <mergeCell ref="DT12:DU12"/>
    <mergeCell ref="DT21:DU21"/>
    <mergeCell ref="C23:P23"/>
    <mergeCell ref="DT23:DU23"/>
    <mergeCell ref="J25:N25"/>
    <mergeCell ref="J26:N26"/>
    <mergeCell ref="DT26:DU26"/>
    <mergeCell ref="DT16:DU16"/>
    <mergeCell ref="DT17:DU17"/>
    <mergeCell ref="C18:P18"/>
    <mergeCell ref="DT18:DU18"/>
    <mergeCell ref="DT19:DU19"/>
    <mergeCell ref="DT20:DU20"/>
    <mergeCell ref="J31:N31"/>
    <mergeCell ref="EI31:EJ31"/>
    <mergeCell ref="J32:N32"/>
    <mergeCell ref="EI32:EJ32"/>
    <mergeCell ref="J33:N33"/>
    <mergeCell ref="J34:N34"/>
    <mergeCell ref="J27:N27"/>
    <mergeCell ref="DT27:DU27"/>
    <mergeCell ref="J28:N28"/>
    <mergeCell ref="DT28:DU28"/>
    <mergeCell ref="J29:N29"/>
    <mergeCell ref="J30:N30"/>
    <mergeCell ref="D42:E42"/>
    <mergeCell ref="F42:N42"/>
    <mergeCell ref="D43:E43"/>
    <mergeCell ref="F43:N43"/>
    <mergeCell ref="EI43:EJ43"/>
    <mergeCell ref="D44:E44"/>
    <mergeCell ref="F44:N44"/>
    <mergeCell ref="EI36:EJ36"/>
    <mergeCell ref="D38:E38"/>
    <mergeCell ref="F38:N38"/>
    <mergeCell ref="D39:E39"/>
    <mergeCell ref="F39:N39"/>
    <mergeCell ref="EI40:EJ40"/>
    <mergeCell ref="D61:J62"/>
    <mergeCell ref="D64:J64"/>
    <mergeCell ref="C67:P67"/>
    <mergeCell ref="J70:K70"/>
    <mergeCell ref="D72:E72"/>
    <mergeCell ref="H72:I72"/>
    <mergeCell ref="K72:M72"/>
    <mergeCell ref="C47:P47"/>
    <mergeCell ref="D49:K50"/>
    <mergeCell ref="D52:J52"/>
    <mergeCell ref="D54:J54"/>
    <mergeCell ref="D56:J56"/>
    <mergeCell ref="D58:J59"/>
    <mergeCell ref="D78:E78"/>
    <mergeCell ref="H78:I78"/>
    <mergeCell ref="L78:M78"/>
    <mergeCell ref="D79:E79"/>
    <mergeCell ref="H79:I79"/>
    <mergeCell ref="L79:M79"/>
    <mergeCell ref="D74:D75"/>
    <mergeCell ref="E75:J75"/>
    <mergeCell ref="D76:N76"/>
    <mergeCell ref="D77:E77"/>
    <mergeCell ref="H77:I77"/>
    <mergeCell ref="L77:M77"/>
    <mergeCell ref="D85:E85"/>
    <mergeCell ref="H85:I85"/>
    <mergeCell ref="D86:E86"/>
    <mergeCell ref="H86:I86"/>
    <mergeCell ref="D87:E87"/>
    <mergeCell ref="H87:I87"/>
    <mergeCell ref="W80:X80"/>
    <mergeCell ref="L81:M81"/>
    <mergeCell ref="W81:X81"/>
    <mergeCell ref="D82:N82"/>
    <mergeCell ref="D84:E84"/>
    <mergeCell ref="H84:I84"/>
    <mergeCell ref="E91:F91"/>
    <mergeCell ref="I91:J91"/>
    <mergeCell ref="Y91:AA91"/>
    <mergeCell ref="Y92:AA92"/>
    <mergeCell ref="D93:L93"/>
    <mergeCell ref="Y93:AA93"/>
    <mergeCell ref="D88:E88"/>
    <mergeCell ref="H88:I88"/>
    <mergeCell ref="Y88:AA88"/>
    <mergeCell ref="Y89:AA89"/>
    <mergeCell ref="H90:I90"/>
    <mergeCell ref="Y90:AA90"/>
    <mergeCell ref="Y96:AA96"/>
    <mergeCell ref="D97:N97"/>
    <mergeCell ref="D98:E98"/>
    <mergeCell ref="H98:I98"/>
    <mergeCell ref="L98:N98"/>
    <mergeCell ref="D99:E99"/>
    <mergeCell ref="H99:I99"/>
    <mergeCell ref="L99:N99"/>
    <mergeCell ref="D94:F94"/>
    <mergeCell ref="G94:H94"/>
    <mergeCell ref="K94:L94"/>
    <mergeCell ref="Y94:AA94"/>
    <mergeCell ref="D95:F95"/>
    <mergeCell ref="G95:H95"/>
    <mergeCell ref="Y95:AA95"/>
    <mergeCell ref="T119:U119"/>
    <mergeCell ref="D120:E120"/>
    <mergeCell ref="G120:H120"/>
    <mergeCell ref="J120:P120"/>
    <mergeCell ref="C100:E100"/>
    <mergeCell ref="D101:E101"/>
    <mergeCell ref="H101:I101"/>
    <mergeCell ref="L101:N101"/>
    <mergeCell ref="C116:P116"/>
    <mergeCell ref="D118:E118"/>
    <mergeCell ref="G118:H118"/>
    <mergeCell ref="J118:O118"/>
    <mergeCell ref="D121:E121"/>
    <mergeCell ref="G121:H121"/>
    <mergeCell ref="L121:O121"/>
    <mergeCell ref="D125:E125"/>
    <mergeCell ref="J125:K125"/>
    <mergeCell ref="M125:N125"/>
    <mergeCell ref="D119:E119"/>
    <mergeCell ref="G119:H119"/>
    <mergeCell ref="L119:O119"/>
    <mergeCell ref="T126:V126"/>
    <mergeCell ref="C148:P148"/>
    <mergeCell ref="J149:P163"/>
    <mergeCell ref="F150:H150"/>
    <mergeCell ref="F151:H151"/>
    <mergeCell ref="F152:H152"/>
    <mergeCell ref="F153:H153"/>
    <mergeCell ref="F154:H154"/>
    <mergeCell ref="F155:H155"/>
    <mergeCell ref="F156:H156"/>
    <mergeCell ref="C168:P168"/>
    <mergeCell ref="D170:O170"/>
    <mergeCell ref="K171:L171"/>
    <mergeCell ref="N171:O171"/>
    <mergeCell ref="D188:H188"/>
    <mergeCell ref="J188:O188"/>
    <mergeCell ref="F157:H157"/>
    <mergeCell ref="F158:H158"/>
    <mergeCell ref="F159:H159"/>
    <mergeCell ref="F160:H160"/>
    <mergeCell ref="F161:H161"/>
    <mergeCell ref="F162:H162"/>
    <mergeCell ref="C220:E222"/>
    <mergeCell ref="M220:M222"/>
    <mergeCell ref="N220:N222"/>
    <mergeCell ref="C223:E225"/>
    <mergeCell ref="M223:M225"/>
    <mergeCell ref="N223:N225"/>
    <mergeCell ref="N189:O189"/>
    <mergeCell ref="C217:P217"/>
    <mergeCell ref="F219:G219"/>
    <mergeCell ref="H219:I219"/>
    <mergeCell ref="J219:K219"/>
    <mergeCell ref="L219:M219"/>
    <mergeCell ref="C229:E231"/>
    <mergeCell ref="M229:M231"/>
    <mergeCell ref="N229:N231"/>
    <mergeCell ref="C232:E234"/>
    <mergeCell ref="M232:M234"/>
    <mergeCell ref="N232:N234"/>
    <mergeCell ref="AJ225:BS225"/>
    <mergeCell ref="C226:E228"/>
    <mergeCell ref="M226:M228"/>
    <mergeCell ref="N226:N228"/>
    <mergeCell ref="AJ226:AO226"/>
    <mergeCell ref="AP226:AT226"/>
    <mergeCell ref="C238:E240"/>
    <mergeCell ref="M238:M240"/>
    <mergeCell ref="N238:N240"/>
    <mergeCell ref="AJ238:AO238"/>
    <mergeCell ref="AJ239:AO239"/>
    <mergeCell ref="AJ240:AO240"/>
    <mergeCell ref="AJ234:BS234"/>
    <mergeCell ref="C235:E237"/>
    <mergeCell ref="M235:M237"/>
    <mergeCell ref="N235:N237"/>
    <mergeCell ref="AJ235:AO235"/>
    <mergeCell ref="AJ236:AO236"/>
    <mergeCell ref="AJ237:AO237"/>
    <mergeCell ref="C241:E243"/>
    <mergeCell ref="M241:M243"/>
    <mergeCell ref="N241:N243"/>
    <mergeCell ref="AJ241:AO241"/>
    <mergeCell ref="AJ242:AO242"/>
    <mergeCell ref="C244:E246"/>
    <mergeCell ref="M244:M246"/>
    <mergeCell ref="N244:N246"/>
    <mergeCell ref="AJ245:AL245"/>
    <mergeCell ref="BB245:BD245"/>
    <mergeCell ref="C247:E249"/>
    <mergeCell ref="M247:M249"/>
    <mergeCell ref="N247:N249"/>
    <mergeCell ref="AM247:AN247"/>
    <mergeCell ref="BC247:BD247"/>
    <mergeCell ref="AM248:AN248"/>
    <mergeCell ref="BC248:BD248"/>
    <mergeCell ref="AM249:AN249"/>
    <mergeCell ref="BC249:BD249"/>
    <mergeCell ref="C250:E252"/>
    <mergeCell ref="M250:M252"/>
    <mergeCell ref="N250:N252"/>
    <mergeCell ref="AM250:AN250"/>
    <mergeCell ref="BC250:BD250"/>
    <mergeCell ref="AM251:AN251"/>
    <mergeCell ref="BC251:BD251"/>
    <mergeCell ref="AM252:AN252"/>
    <mergeCell ref="BC252:BD252"/>
    <mergeCell ref="C253:E255"/>
    <mergeCell ref="M253:M255"/>
    <mergeCell ref="N253:N255"/>
    <mergeCell ref="AM253:AN253"/>
    <mergeCell ref="BC253:BD253"/>
    <mergeCell ref="C256:E258"/>
    <mergeCell ref="M256:M258"/>
    <mergeCell ref="N256:N258"/>
    <mergeCell ref="AM256:AN256"/>
    <mergeCell ref="BC256:BD256"/>
    <mergeCell ref="AM257:AN257"/>
    <mergeCell ref="BC257:BD257"/>
    <mergeCell ref="AM258:AN258"/>
    <mergeCell ref="AU258:AV258"/>
    <mergeCell ref="BC258:BD258"/>
    <mergeCell ref="C259:E261"/>
    <mergeCell ref="M259:M261"/>
    <mergeCell ref="N259:N261"/>
    <mergeCell ref="AM259:AN259"/>
    <mergeCell ref="BC259:BD259"/>
    <mergeCell ref="AM265:AN265"/>
    <mergeCell ref="BC265:BD265"/>
    <mergeCell ref="C266:F266"/>
    <mergeCell ref="G266:H266"/>
    <mergeCell ref="K266:L266"/>
    <mergeCell ref="M266:N266"/>
    <mergeCell ref="AM266:AN266"/>
    <mergeCell ref="BC266:BD266"/>
    <mergeCell ref="AM260:AN260"/>
    <mergeCell ref="BC260:BD260"/>
    <mergeCell ref="AM261:AN261"/>
    <mergeCell ref="BC261:BD261"/>
    <mergeCell ref="C262:E264"/>
    <mergeCell ref="M262:M264"/>
    <mergeCell ref="N262:N264"/>
    <mergeCell ref="AM262:AN262"/>
    <mergeCell ref="BC262:BD262"/>
    <mergeCell ref="H272:K272"/>
    <mergeCell ref="AM274:AN274"/>
    <mergeCell ref="BC274:BD274"/>
    <mergeCell ref="AM267:AN267"/>
    <mergeCell ref="BC267:BD267"/>
    <mergeCell ref="AM268:AN268"/>
    <mergeCell ref="BC268:BD268"/>
    <mergeCell ref="C269:P269"/>
    <mergeCell ref="AM269:AN269"/>
    <mergeCell ref="BC269:BD269"/>
    <mergeCell ref="AM275:AN275"/>
    <mergeCell ref="BC275:BD275"/>
    <mergeCell ref="AM276:AN276"/>
    <mergeCell ref="BC276:BD276"/>
    <mergeCell ref="AM277:AN277"/>
    <mergeCell ref="BC277:BD277"/>
    <mergeCell ref="AM270:AN270"/>
    <mergeCell ref="BC270:BD270"/>
    <mergeCell ref="AM271:AN271"/>
    <mergeCell ref="BC271:BD271"/>
    <mergeCell ref="H281:K281"/>
    <mergeCell ref="AM283:AN283"/>
    <mergeCell ref="BC283:BD283"/>
    <mergeCell ref="AM284:AN284"/>
    <mergeCell ref="BC284:BD284"/>
    <mergeCell ref="AM285:AN285"/>
    <mergeCell ref="BC285:BD285"/>
    <mergeCell ref="C278:P278"/>
    <mergeCell ref="AM278:AN278"/>
    <mergeCell ref="BC278:BD278"/>
    <mergeCell ref="AM279:AN279"/>
    <mergeCell ref="BC279:BD279"/>
    <mergeCell ref="AM280:AN280"/>
    <mergeCell ref="BC280:BD280"/>
    <mergeCell ref="C289:F289"/>
    <mergeCell ref="H289:I289"/>
    <mergeCell ref="K289:N289"/>
    <mergeCell ref="AM289:AN289"/>
    <mergeCell ref="BC289:BD289"/>
    <mergeCell ref="D290:E290"/>
    <mergeCell ref="H290:I290"/>
    <mergeCell ref="L290:N290"/>
    <mergeCell ref="AM286:AN286"/>
    <mergeCell ref="BC286:BD286"/>
    <mergeCell ref="C287:P287"/>
    <mergeCell ref="AM287:AN287"/>
    <mergeCell ref="BC287:BD287"/>
    <mergeCell ref="AM288:AN288"/>
    <mergeCell ref="BC288:BD288"/>
    <mergeCell ref="AM294:AN294"/>
    <mergeCell ref="BC294:BD294"/>
    <mergeCell ref="AM295:AN295"/>
    <mergeCell ref="BC295:BD295"/>
    <mergeCell ref="C296:P296"/>
    <mergeCell ref="AM296:AN296"/>
    <mergeCell ref="BC296:BD296"/>
    <mergeCell ref="D292:E292"/>
    <mergeCell ref="AM292:AN292"/>
    <mergeCell ref="BC292:BD292"/>
    <mergeCell ref="D293:E293"/>
    <mergeCell ref="AM293:AN293"/>
    <mergeCell ref="BC293:BD293"/>
    <mergeCell ref="D318:N318"/>
    <mergeCell ref="D319:N319"/>
    <mergeCell ref="D320:N320"/>
    <mergeCell ref="F323:L323"/>
    <mergeCell ref="C297:P316"/>
    <mergeCell ref="AM297:AN297"/>
    <mergeCell ref="BC297:BD297"/>
    <mergeCell ref="AM298:AN298"/>
    <mergeCell ref="BC298:BD298"/>
    <mergeCell ref="X304:Y304"/>
    <mergeCell ref="X315:Y315"/>
  </mergeCells>
  <conditionalFormatting sqref="L101:N101">
    <cfRule type="cellIs" dxfId="144" priority="13" operator="equal">
      <formula>"obesidade muito alta"</formula>
    </cfRule>
    <cfRule type="cellIs" dxfId="143" priority="14" operator="equal">
      <formula>"obesidade alta"</formula>
    </cfRule>
    <cfRule type="cellIs" dxfId="142" priority="15" operator="equal">
      <formula>"obesidade moderada"</formula>
    </cfRule>
    <cfRule type="cellIs" dxfId="141" priority="16" operator="equal">
      <formula>"pré-obesidade"</formula>
    </cfRule>
    <cfRule type="cellIs" dxfId="140" priority="17" operator="equal">
      <formula>"peso normal"</formula>
    </cfRule>
    <cfRule type="cellIs" dxfId="139" priority="18" operator="equal">
      <formula>"baixo peso leve"</formula>
    </cfRule>
    <cfRule type="cellIs" dxfId="138" priority="19" operator="equal">
      <formula>"baixo peso moderado"</formula>
    </cfRule>
    <cfRule type="cellIs" dxfId="137" priority="20" operator="equal">
      <formula>"baixo peso severo"</formula>
    </cfRule>
  </conditionalFormatting>
  <conditionalFormatting sqref="BH95">
    <cfRule type="cellIs" dxfId="136" priority="9" operator="equal">
      <formula>"Endomorfo"</formula>
    </cfRule>
  </conditionalFormatting>
  <conditionalFormatting sqref="BC62:BE62">
    <cfRule type="expression" dxfId="135" priority="12">
      <formula>$Z$47&gt;$Z$48=$Z$49</formula>
    </cfRule>
  </conditionalFormatting>
  <conditionalFormatting sqref="BC104:BE104">
    <cfRule type="expression" dxfId="134" priority="11" stopIfTrue="1">
      <formula>$AA$86=$AB$86=$AC$86</formula>
    </cfRule>
  </conditionalFormatting>
  <conditionalFormatting sqref="BI98">
    <cfRule type="expression" priority="10" stopIfTrue="1">
      <formula>"$AA$82&gt;$AB$82=$AC$82;""ENDOMORFO"""</formula>
    </cfRule>
  </conditionalFormatting>
  <conditionalFormatting sqref="EB11:ED11">
    <cfRule type="cellIs" dxfId="133" priority="1" operator="equal">
      <formula>"obesidade muito alta"</formula>
    </cfRule>
    <cfRule type="cellIs" dxfId="132" priority="2" operator="equal">
      <formula>"obesidade alta"</formula>
    </cfRule>
    <cfRule type="cellIs" dxfId="131" priority="3" operator="equal">
      <formula>"obesidade moderada"</formula>
    </cfRule>
    <cfRule type="cellIs" dxfId="130" priority="4" operator="equal">
      <formula>"pré-obesidade"</formula>
    </cfRule>
    <cfRule type="cellIs" dxfId="129" priority="5" operator="equal">
      <formula>"peso normal"</formula>
    </cfRule>
    <cfRule type="cellIs" dxfId="128" priority="6" operator="equal">
      <formula>"baixo peso leve"</formula>
    </cfRule>
    <cfRule type="cellIs" dxfId="127" priority="7" operator="equal">
      <formula>"baixo peso moderado"</formula>
    </cfRule>
    <cfRule type="cellIs" dxfId="126" priority="8" operator="equal">
      <formula>"baixo peso severo"</formula>
    </cfRule>
  </conditionalFormatting>
  <dataValidations count="2">
    <dataValidation type="list" allowBlank="1" showInputMessage="1" showErrorMessage="1" sqref="E75:J75" xr:uid="{A908A19A-0540-4BB2-9557-E0F2B2C5793C}">
      <formula1>$S$67:$S$75</formula1>
    </dataValidation>
    <dataValidation type="list" allowBlank="1" showInputMessage="1" showErrorMessage="1" sqref="L9" xr:uid="{5742CB3D-6A2E-4F7B-80D4-703471AA038C}">
      <formula1>"Feminino, Masculino"</formula1>
    </dataValidation>
  </dataValidations>
  <printOptions horizontalCentered="1"/>
  <pageMargins left="0.31496062992125984" right="0.11811023622047245" top="0.31496062992125984" bottom="0.31496062992125984" header="0.31496062992125984" footer="0.31496062992125984"/>
  <pageSetup paperSize="9" scale="90" fitToHeight="0" orientation="portrait" r:id="rId1"/>
  <headerFooter differentFirst="1"/>
  <rowBreaks count="4" manualBreakCount="4">
    <brk id="65" min="1" max="16" man="1"/>
    <brk id="121" min="1" max="16" man="1"/>
    <brk id="213" min="1" max="16" man="1"/>
    <brk id="26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Caixa de seleção 2">
              <controlPr defaultSize="0" autoFill="0" autoLine="0" autoPict="0">
                <anchor moveWithCells="1">
                  <from>
                    <xdr:col>3</xdr:col>
                    <xdr:colOff>83820</xdr:colOff>
                    <xdr:row>18</xdr:row>
                    <xdr:rowOff>91440</xdr:rowOff>
                  </from>
                  <to>
                    <xdr:col>3</xdr:col>
                    <xdr:colOff>975360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Caixa de seleção 3">
              <controlPr defaultSize="0" autoFill="0" autoLine="0" autoPict="0">
                <anchor moveWithCells="1">
                  <from>
                    <xdr:col>4</xdr:col>
                    <xdr:colOff>7620</xdr:colOff>
                    <xdr:row>18</xdr:row>
                    <xdr:rowOff>91440</xdr:rowOff>
                  </from>
                  <to>
                    <xdr:col>5</xdr:col>
                    <xdr:colOff>731520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Caixa de seleção 4">
              <controlPr defaultSize="0" autoFill="0" autoLine="0" autoPict="0">
                <anchor moveWithCells="1">
                  <from>
                    <xdr:col>8</xdr:col>
                    <xdr:colOff>175260</xdr:colOff>
                    <xdr:row>18</xdr:row>
                    <xdr:rowOff>91440</xdr:rowOff>
                  </from>
                  <to>
                    <xdr:col>9</xdr:col>
                    <xdr:colOff>1089660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Caixa de seleção 5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91440</xdr:rowOff>
                  </from>
                  <to>
                    <xdr:col>7</xdr:col>
                    <xdr:colOff>990600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Caixa de seleção 6">
              <controlPr defaultSize="0" autoFill="0" autoLine="0" autoPict="0">
                <anchor moveWithCells="1">
                  <from>
                    <xdr:col>11</xdr:col>
                    <xdr:colOff>76200</xdr:colOff>
                    <xdr:row>18</xdr:row>
                    <xdr:rowOff>91440</xdr:rowOff>
                  </from>
                  <to>
                    <xdr:col>12</xdr:col>
                    <xdr:colOff>60960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Caixa de seleção 6">
              <controlPr defaultSize="0" autoFill="0" autoLine="0" autoPict="0">
                <anchor moveWithCells="1">
                  <from>
                    <xdr:col>13</xdr:col>
                    <xdr:colOff>137160</xdr:colOff>
                    <xdr:row>18</xdr:row>
                    <xdr:rowOff>83820</xdr:rowOff>
                  </from>
                  <to>
                    <xdr:col>14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Caixa de seleção 42">
              <controlPr defaultSize="0" autoFill="0" autoLine="0" autoPict="0">
                <anchor moveWithCells="1">
                  <from>
                    <xdr:col>4</xdr:col>
                    <xdr:colOff>30480</xdr:colOff>
                    <xdr:row>169</xdr:row>
                    <xdr:rowOff>175260</xdr:rowOff>
                  </from>
                  <to>
                    <xdr:col>5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Caixa de seleção 44">
              <controlPr defaultSize="0" autoFill="0" autoLine="0" autoPict="0">
                <anchor moveWithCells="1">
                  <from>
                    <xdr:col>6</xdr:col>
                    <xdr:colOff>22860</xdr:colOff>
                    <xdr:row>169</xdr:row>
                    <xdr:rowOff>175260</xdr:rowOff>
                  </from>
                  <to>
                    <xdr:col>7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Caixa de seleção 45">
              <controlPr defaultSize="0" autoFill="0" autoLine="0" autoPict="0">
                <anchor moveWithCells="1">
                  <from>
                    <xdr:col>8</xdr:col>
                    <xdr:colOff>30480</xdr:colOff>
                    <xdr:row>169</xdr:row>
                    <xdr:rowOff>175260</xdr:rowOff>
                  </from>
                  <to>
                    <xdr:col>9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Caixa de seleção 47">
              <controlPr defaultSize="0" autoFill="0" autoLine="0" autoPict="0">
                <anchor moveWithCells="1">
                  <from>
                    <xdr:col>4</xdr:col>
                    <xdr:colOff>38100</xdr:colOff>
                    <xdr:row>171</xdr:row>
                    <xdr:rowOff>68580</xdr:rowOff>
                  </from>
                  <to>
                    <xdr:col>5</xdr:col>
                    <xdr:colOff>609600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Caixa de seleção 48">
              <controlPr defaultSize="0" autoFill="0" autoLine="0" autoPict="0">
                <anchor moveWithCells="1">
                  <from>
                    <xdr:col>6</xdr:col>
                    <xdr:colOff>22860</xdr:colOff>
                    <xdr:row>171</xdr:row>
                    <xdr:rowOff>68580</xdr:rowOff>
                  </from>
                  <to>
                    <xdr:col>7</xdr:col>
                    <xdr:colOff>563880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Caixa de seleção 49">
              <controlPr defaultSize="0" autoFill="0" autoLine="0" autoPict="0">
                <anchor moveWithCells="1">
                  <from>
                    <xdr:col>8</xdr:col>
                    <xdr:colOff>22860</xdr:colOff>
                    <xdr:row>171</xdr:row>
                    <xdr:rowOff>68580</xdr:rowOff>
                  </from>
                  <to>
                    <xdr:col>9</xdr:col>
                    <xdr:colOff>899160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Caixa de seleção 50">
              <controlPr defaultSize="0" autoFill="0" autoLine="0" autoPict="0">
                <anchor moveWithCells="1">
                  <from>
                    <xdr:col>4</xdr:col>
                    <xdr:colOff>30480</xdr:colOff>
                    <xdr:row>175</xdr:row>
                    <xdr:rowOff>76200</xdr:rowOff>
                  </from>
                  <to>
                    <xdr:col>5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Caixa de seleção 51">
              <controlPr defaultSize="0" autoFill="0" autoLine="0" autoPict="0">
                <anchor moveWithCells="1">
                  <from>
                    <xdr:col>6</xdr:col>
                    <xdr:colOff>22860</xdr:colOff>
                    <xdr:row>175</xdr:row>
                    <xdr:rowOff>76200</xdr:rowOff>
                  </from>
                  <to>
                    <xdr:col>7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Caixa de seleção 52">
              <controlPr defaultSize="0" autoFill="0" autoLine="0" autoPict="0">
                <anchor moveWithCells="1">
                  <from>
                    <xdr:col>8</xdr:col>
                    <xdr:colOff>30480</xdr:colOff>
                    <xdr:row>175</xdr:row>
                    <xdr:rowOff>76200</xdr:rowOff>
                  </from>
                  <to>
                    <xdr:col>9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Caixa de seleção 53">
              <controlPr defaultSize="0" autoFill="0" autoLine="0" autoPict="0">
                <anchor moveWithCells="1">
                  <from>
                    <xdr:col>4</xdr:col>
                    <xdr:colOff>30480</xdr:colOff>
                    <xdr:row>177</xdr:row>
                    <xdr:rowOff>76200</xdr:rowOff>
                  </from>
                  <to>
                    <xdr:col>5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Caixa de seleção 54">
              <controlPr defaultSize="0" autoFill="0" autoLine="0" autoPict="0">
                <anchor moveWithCells="1">
                  <from>
                    <xdr:col>6</xdr:col>
                    <xdr:colOff>22860</xdr:colOff>
                    <xdr:row>177</xdr:row>
                    <xdr:rowOff>76200</xdr:rowOff>
                  </from>
                  <to>
                    <xdr:col>7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Caixa de seleção 55">
              <controlPr defaultSize="0" autoFill="0" autoLine="0" autoPict="0">
                <anchor moveWithCells="1">
                  <from>
                    <xdr:col>8</xdr:col>
                    <xdr:colOff>30480</xdr:colOff>
                    <xdr:row>177</xdr:row>
                    <xdr:rowOff>76200</xdr:rowOff>
                  </from>
                  <to>
                    <xdr:col>9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Caixa de seleção 59">
              <controlPr defaultSize="0" autoFill="0" autoLine="0" autoPict="0">
                <anchor moveWithCells="1">
                  <from>
                    <xdr:col>4</xdr:col>
                    <xdr:colOff>30480</xdr:colOff>
                    <xdr:row>179</xdr:row>
                    <xdr:rowOff>76200</xdr:rowOff>
                  </from>
                  <to>
                    <xdr:col>5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Caixa de seleção 60">
              <controlPr defaultSize="0" autoFill="0" autoLine="0" autoPict="0">
                <anchor moveWithCells="1">
                  <from>
                    <xdr:col>6</xdr:col>
                    <xdr:colOff>22860</xdr:colOff>
                    <xdr:row>179</xdr:row>
                    <xdr:rowOff>76200</xdr:rowOff>
                  </from>
                  <to>
                    <xdr:col>7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4" name="Caixa de seleção 61">
              <controlPr defaultSize="0" autoFill="0" autoLine="0" autoPict="0">
                <anchor moveWithCells="1">
                  <from>
                    <xdr:col>8</xdr:col>
                    <xdr:colOff>30480</xdr:colOff>
                    <xdr:row>179</xdr:row>
                    <xdr:rowOff>76200</xdr:rowOff>
                  </from>
                  <to>
                    <xdr:col>9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5" name="Caixa de seleção 62">
              <controlPr defaultSize="0" autoFill="0" autoLine="0" autoPict="0">
                <anchor moveWithCells="1">
                  <from>
                    <xdr:col>4</xdr:col>
                    <xdr:colOff>30480</xdr:colOff>
                    <xdr:row>181</xdr:row>
                    <xdr:rowOff>76200</xdr:rowOff>
                  </from>
                  <to>
                    <xdr:col>5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6" name="Caixa de seleção 63">
              <controlPr defaultSize="0" autoFill="0" autoLine="0" autoPict="0">
                <anchor moveWithCells="1">
                  <from>
                    <xdr:col>6</xdr:col>
                    <xdr:colOff>22860</xdr:colOff>
                    <xdr:row>181</xdr:row>
                    <xdr:rowOff>76200</xdr:rowOff>
                  </from>
                  <to>
                    <xdr:col>7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7" name="Caixa de seleção 64">
              <controlPr defaultSize="0" autoFill="0" autoLine="0" autoPict="0">
                <anchor moveWithCells="1">
                  <from>
                    <xdr:col>8</xdr:col>
                    <xdr:colOff>30480</xdr:colOff>
                    <xdr:row>181</xdr:row>
                    <xdr:rowOff>76200</xdr:rowOff>
                  </from>
                  <to>
                    <xdr:col>9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8" name="Caixa de seleção 107">
              <controlPr defaultSize="0" autoFill="0" autoLine="0" autoPict="0">
                <anchor moveWithCells="1">
                  <from>
                    <xdr:col>4</xdr:col>
                    <xdr:colOff>30480</xdr:colOff>
                    <xdr:row>173</xdr:row>
                    <xdr:rowOff>68580</xdr:rowOff>
                  </from>
                  <to>
                    <xdr:col>5</xdr:col>
                    <xdr:colOff>579120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9" name="Caixa de seleção 108">
              <controlPr defaultSize="0" autoFill="0" autoLine="0" autoPict="0">
                <anchor moveWithCells="1">
                  <from>
                    <xdr:col>6</xdr:col>
                    <xdr:colOff>22860</xdr:colOff>
                    <xdr:row>173</xdr:row>
                    <xdr:rowOff>68580</xdr:rowOff>
                  </from>
                  <to>
                    <xdr:col>7</xdr:col>
                    <xdr:colOff>563880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30" name="Caixa de seleção 109">
              <controlPr defaultSize="0" autoFill="0" autoLine="0" autoPict="0">
                <anchor moveWithCells="1">
                  <from>
                    <xdr:col>6</xdr:col>
                    <xdr:colOff>22860</xdr:colOff>
                    <xdr:row>183</xdr:row>
                    <xdr:rowOff>76200</xdr:rowOff>
                  </from>
                  <to>
                    <xdr:col>7</xdr:col>
                    <xdr:colOff>594360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1" name="Caixa de seleção 110">
              <controlPr defaultSize="0" autoFill="0" autoLine="0" autoPict="0">
                <anchor moveWithCells="1">
                  <from>
                    <xdr:col>4</xdr:col>
                    <xdr:colOff>22860</xdr:colOff>
                    <xdr:row>183</xdr:row>
                    <xdr:rowOff>76200</xdr:rowOff>
                  </from>
                  <to>
                    <xdr:col>5</xdr:col>
                    <xdr:colOff>579120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2" name="Caixa de seleção 111">
              <controlPr defaultSize="0" autoFill="0" autoLine="0" autoPict="0">
                <anchor moveWithCells="1">
                  <from>
                    <xdr:col>8</xdr:col>
                    <xdr:colOff>30480</xdr:colOff>
                    <xdr:row>183</xdr:row>
                    <xdr:rowOff>76200</xdr:rowOff>
                  </from>
                  <to>
                    <xdr:col>9</xdr:col>
                    <xdr:colOff>579120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3" name="Caixa de seleção 112">
              <controlPr defaultSize="0" autoFill="0" autoLine="0" autoPict="0">
                <anchor moveWithCells="1">
                  <from>
                    <xdr:col>4</xdr:col>
                    <xdr:colOff>22860</xdr:colOff>
                    <xdr:row>184</xdr:row>
                    <xdr:rowOff>182880</xdr:rowOff>
                  </from>
                  <to>
                    <xdr:col>5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4" name="Caixa de seleção 46">
              <controlPr defaultSize="0" autoFill="0" autoLine="0" autoPict="0">
                <anchor moveWithCells="1">
                  <from>
                    <xdr:col>2</xdr:col>
                    <xdr:colOff>53340</xdr:colOff>
                    <xdr:row>199</xdr:row>
                    <xdr:rowOff>7620</xdr:rowOff>
                  </from>
                  <to>
                    <xdr:col>3</xdr:col>
                    <xdr:colOff>723900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5" name="Caixa de seleção 65">
              <controlPr defaultSize="0" autoFill="0" autoLine="0" autoPict="0">
                <anchor moveWithCells="1">
                  <from>
                    <xdr:col>2</xdr:col>
                    <xdr:colOff>53340</xdr:colOff>
                    <xdr:row>190</xdr:row>
                    <xdr:rowOff>7620</xdr:rowOff>
                  </from>
                  <to>
                    <xdr:col>3</xdr:col>
                    <xdr:colOff>708660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6" name="Caixa de seleção 66">
              <controlPr defaultSize="0" autoFill="0" autoLine="0" autoPict="0">
                <anchor moveWithCells="1">
                  <from>
                    <xdr:col>2</xdr:col>
                    <xdr:colOff>53340</xdr:colOff>
                    <xdr:row>189</xdr:row>
                    <xdr:rowOff>7620</xdr:rowOff>
                  </from>
                  <to>
                    <xdr:col>5</xdr:col>
                    <xdr:colOff>99060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7" name="Caixa de seleção 67">
              <controlPr defaultSize="0" autoFill="0" autoLine="0" autoPict="0">
                <anchor moveWithCells="1">
                  <from>
                    <xdr:col>4</xdr:col>
                    <xdr:colOff>137160</xdr:colOff>
                    <xdr:row>189</xdr:row>
                    <xdr:rowOff>7620</xdr:rowOff>
                  </from>
                  <to>
                    <xdr:col>7</xdr:col>
                    <xdr:colOff>259080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8" name="Caixa de seleção 69">
              <controlPr defaultSize="0" autoFill="0" autoLine="0" autoPict="0">
                <anchor moveWithCells="1">
                  <from>
                    <xdr:col>2</xdr:col>
                    <xdr:colOff>53340</xdr:colOff>
                    <xdr:row>198</xdr:row>
                    <xdr:rowOff>7620</xdr:rowOff>
                  </from>
                  <to>
                    <xdr:col>5</xdr:col>
                    <xdr:colOff>22860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9" name="Caixa de seleção 70">
              <controlPr defaultSize="0" autoFill="0" autoLine="0" autoPict="0">
                <anchor moveWithCells="1">
                  <from>
                    <xdr:col>4</xdr:col>
                    <xdr:colOff>137160</xdr:colOff>
                    <xdr:row>198</xdr:row>
                    <xdr:rowOff>7620</xdr:rowOff>
                  </from>
                  <to>
                    <xdr:col>7</xdr:col>
                    <xdr:colOff>83820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40" name="Caixa de seleção 71">
              <controlPr defaultSize="0" autoFill="0" autoLine="0" autoPict="0">
                <anchor moveWithCells="1">
                  <from>
                    <xdr:col>2</xdr:col>
                    <xdr:colOff>53340</xdr:colOff>
                    <xdr:row>195</xdr:row>
                    <xdr:rowOff>7620</xdr:rowOff>
                  </from>
                  <to>
                    <xdr:col>3</xdr:col>
                    <xdr:colOff>708660</xdr:colOff>
                    <xdr:row>196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1" name="Caixa de seleção 72">
              <controlPr defaultSize="0" autoFill="0" autoLine="0" autoPict="0">
                <anchor moveWithCells="1">
                  <from>
                    <xdr:col>2</xdr:col>
                    <xdr:colOff>53340</xdr:colOff>
                    <xdr:row>193</xdr:row>
                    <xdr:rowOff>7620</xdr:rowOff>
                  </from>
                  <to>
                    <xdr:col>4</xdr:col>
                    <xdr:colOff>137160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2" name="Caixa de seleção 73">
              <controlPr defaultSize="0" autoFill="0" autoLine="0" autoPict="0">
                <anchor moveWithCells="1">
                  <from>
                    <xdr:col>4</xdr:col>
                    <xdr:colOff>137160</xdr:colOff>
                    <xdr:row>193</xdr:row>
                    <xdr:rowOff>7620</xdr:rowOff>
                  </from>
                  <to>
                    <xdr:col>5</xdr:col>
                    <xdr:colOff>708660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3" name="Caixa de seleção 77">
              <controlPr defaultSize="0" autoFill="0" autoLine="0" autoPict="0">
                <anchor moveWithCells="1">
                  <from>
                    <xdr:col>2</xdr:col>
                    <xdr:colOff>53340</xdr:colOff>
                    <xdr:row>194</xdr:row>
                    <xdr:rowOff>7620</xdr:rowOff>
                  </from>
                  <to>
                    <xdr:col>3</xdr:col>
                    <xdr:colOff>975360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4" name="Caixa de seleção 78">
              <controlPr defaultSize="0" autoFill="0" autoLine="0" autoPict="0">
                <anchor moveWithCells="1">
                  <from>
                    <xdr:col>4</xdr:col>
                    <xdr:colOff>137160</xdr:colOff>
                    <xdr:row>194</xdr:row>
                    <xdr:rowOff>7620</xdr:rowOff>
                  </from>
                  <to>
                    <xdr:col>6</xdr:col>
                    <xdr:colOff>99060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5" name="Caixa de seleção 80">
              <controlPr defaultSize="0" autoFill="0" autoLine="0" autoPict="0">
                <anchor moveWithCells="1">
                  <from>
                    <xdr:col>2</xdr:col>
                    <xdr:colOff>53340</xdr:colOff>
                    <xdr:row>211</xdr:row>
                    <xdr:rowOff>0</xdr:rowOff>
                  </from>
                  <to>
                    <xdr:col>3</xdr:col>
                    <xdr:colOff>708660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6" name="Caixa de seleção 81">
              <controlPr defaultSize="0" autoFill="0" autoLine="0" autoPict="0">
                <anchor moveWithCells="1">
                  <from>
                    <xdr:col>4</xdr:col>
                    <xdr:colOff>144780</xdr:colOff>
                    <xdr:row>211</xdr:row>
                    <xdr:rowOff>0</xdr:rowOff>
                  </from>
                  <to>
                    <xdr:col>5</xdr:col>
                    <xdr:colOff>685800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7" name="Caixa de seleção 83">
              <controlPr defaultSize="0" autoFill="0" autoLine="0" autoPict="0">
                <anchor moveWithCells="1">
                  <from>
                    <xdr:col>2</xdr:col>
                    <xdr:colOff>53340</xdr:colOff>
                    <xdr:row>208</xdr:row>
                    <xdr:rowOff>7620</xdr:rowOff>
                  </from>
                  <to>
                    <xdr:col>3</xdr:col>
                    <xdr:colOff>708660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8" name="Caixa de seleção 84">
              <controlPr defaultSize="0" autoFill="0" autoLine="0" autoPict="0">
                <anchor moveWithCells="1">
                  <from>
                    <xdr:col>4</xdr:col>
                    <xdr:colOff>144780</xdr:colOff>
                    <xdr:row>208</xdr:row>
                    <xdr:rowOff>7620</xdr:rowOff>
                  </from>
                  <to>
                    <xdr:col>5</xdr:col>
                    <xdr:colOff>685800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9" name="Caixa de seleção 85">
              <controlPr defaultSize="0" autoFill="0" autoLine="0" autoPict="0">
                <anchor moveWithCells="1">
                  <from>
                    <xdr:col>5</xdr:col>
                    <xdr:colOff>838200</xdr:colOff>
                    <xdr:row>208</xdr:row>
                    <xdr:rowOff>15240</xdr:rowOff>
                  </from>
                  <to>
                    <xdr:col>7</xdr:col>
                    <xdr:colOff>403860</xdr:colOff>
                    <xdr:row>209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50" name="Caixa de seleção 86">
              <controlPr defaultSize="0" autoFill="0" autoLine="0" autoPict="0">
                <anchor moveWithCells="1">
                  <from>
                    <xdr:col>8</xdr:col>
                    <xdr:colOff>137160</xdr:colOff>
                    <xdr:row>189</xdr:row>
                    <xdr:rowOff>7620</xdr:rowOff>
                  </from>
                  <to>
                    <xdr:col>9</xdr:col>
                    <xdr:colOff>708660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1" name="Caixa de seleção 87">
              <controlPr defaultSize="0" autoFill="0" autoLine="0" autoPict="0">
                <anchor moveWithCells="1">
                  <from>
                    <xdr:col>10</xdr:col>
                    <xdr:colOff>137160</xdr:colOff>
                    <xdr:row>189</xdr:row>
                    <xdr:rowOff>7620</xdr:rowOff>
                  </from>
                  <to>
                    <xdr:col>11</xdr:col>
                    <xdr:colOff>670560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2" name="Caixa de seleção 92">
              <controlPr defaultSize="0" autoFill="0" autoLine="0" autoPict="0">
                <anchor moveWithCells="1">
                  <from>
                    <xdr:col>8</xdr:col>
                    <xdr:colOff>137160</xdr:colOff>
                    <xdr:row>198</xdr:row>
                    <xdr:rowOff>167640</xdr:rowOff>
                  </from>
                  <to>
                    <xdr:col>9</xdr:col>
                    <xdr:colOff>693420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3" name="Caixa de seleção 93">
              <controlPr defaultSize="0" autoFill="0" autoLine="0" autoPict="0">
                <anchor moveWithCells="1">
                  <from>
                    <xdr:col>8</xdr:col>
                    <xdr:colOff>137160</xdr:colOff>
                    <xdr:row>197</xdr:row>
                    <xdr:rowOff>175260</xdr:rowOff>
                  </from>
                  <to>
                    <xdr:col>9</xdr:col>
                    <xdr:colOff>708660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4" name="Caixa de seleção 94">
              <controlPr defaultSize="0" autoFill="0" autoLine="0" autoPict="0">
                <anchor moveWithCells="1">
                  <from>
                    <xdr:col>10</xdr:col>
                    <xdr:colOff>137160</xdr:colOff>
                    <xdr:row>197</xdr:row>
                    <xdr:rowOff>175260</xdr:rowOff>
                  </from>
                  <to>
                    <xdr:col>11</xdr:col>
                    <xdr:colOff>693420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5" name="Caixa de seleção 95">
              <controlPr defaultSize="0" autoFill="0" autoLine="0" autoPict="0">
                <anchor moveWithCells="1">
                  <from>
                    <xdr:col>8</xdr:col>
                    <xdr:colOff>137160</xdr:colOff>
                    <xdr:row>204</xdr:row>
                    <xdr:rowOff>175260</xdr:rowOff>
                  </from>
                  <to>
                    <xdr:col>9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6" name="Caixa de seleção 96">
              <controlPr defaultSize="0" autoFill="0" autoLine="0" autoPict="0">
                <anchor moveWithCells="1">
                  <from>
                    <xdr:col>8</xdr:col>
                    <xdr:colOff>137160</xdr:colOff>
                    <xdr:row>203</xdr:row>
                    <xdr:rowOff>175260</xdr:rowOff>
                  </from>
                  <to>
                    <xdr:col>9</xdr:col>
                    <xdr:colOff>708660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7" name="Caixa de seleção 97">
              <controlPr defaultSize="0" autoFill="0" autoLine="0" autoPict="0">
                <anchor moveWithCells="1">
                  <from>
                    <xdr:col>10</xdr:col>
                    <xdr:colOff>137160</xdr:colOff>
                    <xdr:row>203</xdr:row>
                    <xdr:rowOff>175260</xdr:rowOff>
                  </from>
                  <to>
                    <xdr:col>11</xdr:col>
                    <xdr:colOff>693420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8" name="Caixa de seleção 98">
              <controlPr defaultSize="0" autoFill="0" autoLine="0" autoPict="0">
                <anchor moveWithCells="1">
                  <from>
                    <xdr:col>8</xdr:col>
                    <xdr:colOff>137160</xdr:colOff>
                    <xdr:row>193</xdr:row>
                    <xdr:rowOff>175260</xdr:rowOff>
                  </from>
                  <to>
                    <xdr:col>9</xdr:col>
                    <xdr:colOff>693420</xdr:colOff>
                    <xdr:row>195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9" name="Caixa de seleção 104">
              <controlPr defaultSize="0" autoFill="0" autoLine="0" autoPict="0">
                <anchor moveWithCells="1">
                  <from>
                    <xdr:col>2</xdr:col>
                    <xdr:colOff>53340</xdr:colOff>
                    <xdr:row>204</xdr:row>
                    <xdr:rowOff>175260</xdr:rowOff>
                  </from>
                  <to>
                    <xdr:col>3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60" name="Caixa de seleção 105">
              <controlPr defaultSize="0" autoFill="0" autoLine="0" autoPict="0">
                <anchor moveWithCells="1">
                  <from>
                    <xdr:col>4</xdr:col>
                    <xdr:colOff>129540</xdr:colOff>
                    <xdr:row>203</xdr:row>
                    <xdr:rowOff>175260</xdr:rowOff>
                  </from>
                  <to>
                    <xdr:col>7</xdr:col>
                    <xdr:colOff>7620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1" name="Caixa de seleção 106">
              <controlPr defaultSize="0" autoFill="0" autoLine="0" autoPict="0">
                <anchor moveWithCells="1">
                  <from>
                    <xdr:col>2</xdr:col>
                    <xdr:colOff>53340</xdr:colOff>
                    <xdr:row>203</xdr:row>
                    <xdr:rowOff>175260</xdr:rowOff>
                  </from>
                  <to>
                    <xdr:col>4</xdr:col>
                    <xdr:colOff>144780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2" name="Check Box 59">
              <controlPr defaultSize="0" autoFill="0" autoLine="0" autoPict="0">
                <anchor moveWithCells="1">
                  <from>
                    <xdr:col>12</xdr:col>
                    <xdr:colOff>0</xdr:colOff>
                    <xdr:row>47</xdr:row>
                    <xdr:rowOff>175260</xdr:rowOff>
                  </from>
                  <to>
                    <xdr:col>13</xdr:col>
                    <xdr:colOff>495300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3" name="Check Box 60">
              <controlPr defaultSize="0" autoFill="0" autoLine="0" autoPict="0">
                <anchor moveWithCells="1">
                  <from>
                    <xdr:col>13</xdr:col>
                    <xdr:colOff>327660</xdr:colOff>
                    <xdr:row>47</xdr:row>
                    <xdr:rowOff>175260</xdr:rowOff>
                  </from>
                  <to>
                    <xdr:col>14</xdr:col>
                    <xdr:colOff>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4" name="Check Box 61">
              <controlPr defaultSize="0" autoFill="0" autoLine="0" autoPict="0">
                <anchor moveWithCells="1">
                  <from>
                    <xdr:col>12</xdr:col>
                    <xdr:colOff>0</xdr:colOff>
                    <xdr:row>50</xdr:row>
                    <xdr:rowOff>53340</xdr:rowOff>
                  </from>
                  <to>
                    <xdr:col>13</xdr:col>
                    <xdr:colOff>495300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5" name="Check Box 62">
              <controlPr defaultSize="0" autoFill="0" autoLine="0" autoPict="0">
                <anchor moveWithCells="1">
                  <from>
                    <xdr:col>13</xdr:col>
                    <xdr:colOff>327660</xdr:colOff>
                    <xdr:row>50</xdr:row>
                    <xdr:rowOff>53340</xdr:rowOff>
                  </from>
                  <to>
                    <xdr:col>14</xdr:col>
                    <xdr:colOff>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6" name="Check Box 63">
              <controlPr defaultSize="0" autoFill="0" autoLine="0" autoPict="0">
                <anchor moveWithCells="1">
                  <from>
                    <xdr:col>12</xdr:col>
                    <xdr:colOff>0</xdr:colOff>
                    <xdr:row>52</xdr:row>
                    <xdr:rowOff>45720</xdr:rowOff>
                  </from>
                  <to>
                    <xdr:col>13</xdr:col>
                    <xdr:colOff>495300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7" name="Check Box 64">
              <controlPr defaultSize="0" autoFill="0" autoLine="0" autoPict="0">
                <anchor moveWithCells="1">
                  <from>
                    <xdr:col>13</xdr:col>
                    <xdr:colOff>327660</xdr:colOff>
                    <xdr:row>52</xdr:row>
                    <xdr:rowOff>45720</xdr:rowOff>
                  </from>
                  <to>
                    <xdr:col>14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8" name="Check Box 65">
              <controlPr defaultSize="0" autoFill="0" autoLine="0" autoPict="0">
                <anchor moveWithCells="1">
                  <from>
                    <xdr:col>12</xdr:col>
                    <xdr:colOff>0</xdr:colOff>
                    <xdr:row>54</xdr:row>
                    <xdr:rowOff>53340</xdr:rowOff>
                  </from>
                  <to>
                    <xdr:col>13</xdr:col>
                    <xdr:colOff>495300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9" name="Check Box 66">
              <controlPr defaultSize="0" autoFill="0" autoLine="0" autoPict="0">
                <anchor moveWithCells="1">
                  <from>
                    <xdr:col>13</xdr:col>
                    <xdr:colOff>327660</xdr:colOff>
                    <xdr:row>54</xdr:row>
                    <xdr:rowOff>53340</xdr:rowOff>
                  </from>
                  <to>
                    <xdr:col>14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70" name="Check Box 67">
              <controlPr defaultSize="0" autoFill="0" autoLine="0" autoPict="0">
                <anchor moveWithCells="1">
                  <from>
                    <xdr:col>12</xdr:col>
                    <xdr:colOff>0</xdr:colOff>
                    <xdr:row>56</xdr:row>
                    <xdr:rowOff>53340</xdr:rowOff>
                  </from>
                  <to>
                    <xdr:col>13</xdr:col>
                    <xdr:colOff>495300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1" name="Check Box 68">
              <controlPr defaultSize="0" autoFill="0" autoLine="0" autoPict="0">
                <anchor moveWithCells="1">
                  <from>
                    <xdr:col>13</xdr:col>
                    <xdr:colOff>327660</xdr:colOff>
                    <xdr:row>56</xdr:row>
                    <xdr:rowOff>53340</xdr:rowOff>
                  </from>
                  <to>
                    <xdr:col>14</xdr:col>
                    <xdr:colOff>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2" name="Check Box 69">
              <controlPr defaultSize="0" autoFill="0" autoLine="0" autoPict="0">
                <anchor moveWithCells="1">
                  <from>
                    <xdr:col>12</xdr:col>
                    <xdr:colOff>0</xdr:colOff>
                    <xdr:row>59</xdr:row>
                    <xdr:rowOff>53340</xdr:rowOff>
                  </from>
                  <to>
                    <xdr:col>13</xdr:col>
                    <xdr:colOff>495300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3" name="Check Box 70">
              <controlPr defaultSize="0" autoFill="0" autoLine="0" autoPict="0">
                <anchor moveWithCells="1">
                  <from>
                    <xdr:col>13</xdr:col>
                    <xdr:colOff>327660</xdr:colOff>
                    <xdr:row>59</xdr:row>
                    <xdr:rowOff>53340</xdr:rowOff>
                  </from>
                  <to>
                    <xdr:col>14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4" name="Check Box 71">
              <controlPr defaultSize="0" autoFill="0" autoLine="0" autoPict="0">
                <anchor moveWithCells="1">
                  <from>
                    <xdr:col>12</xdr:col>
                    <xdr:colOff>0</xdr:colOff>
                    <xdr:row>62</xdr:row>
                    <xdr:rowOff>53340</xdr:rowOff>
                  </from>
                  <to>
                    <xdr:col>13</xdr:col>
                    <xdr:colOff>495300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5" name="Check Box 72">
              <controlPr defaultSize="0" autoFill="0" autoLine="0" autoPict="0">
                <anchor moveWithCells="1">
                  <from>
                    <xdr:col>13</xdr:col>
                    <xdr:colOff>327660</xdr:colOff>
                    <xdr:row>62</xdr:row>
                    <xdr:rowOff>53340</xdr:rowOff>
                  </from>
                  <to>
                    <xdr:col>14</xdr:col>
                    <xdr:colOff>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6" name="Caixa de seleção 112">
              <controlPr defaultSize="0" autoFill="0" autoLine="0" autoPict="0">
                <anchor moveWithCells="1">
                  <from>
                    <xdr:col>6</xdr:col>
                    <xdr:colOff>22860</xdr:colOff>
                    <xdr:row>184</xdr:row>
                    <xdr:rowOff>182880</xdr:rowOff>
                  </from>
                  <to>
                    <xdr:col>7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7" name="Caixa de seleção 112">
              <controlPr defaultSize="0" autoFill="0" autoLine="0" autoPict="0">
                <anchor moveWithCells="1">
                  <from>
                    <xdr:col>8</xdr:col>
                    <xdr:colOff>137160</xdr:colOff>
                    <xdr:row>190</xdr:row>
                    <xdr:rowOff>0</xdr:rowOff>
                  </from>
                  <to>
                    <xdr:col>9</xdr:col>
                    <xdr:colOff>685800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8" name="Caixa de seleção 68">
              <controlPr defaultSize="0" autoFill="0" autoLine="0" autoPict="0">
                <anchor moveWithCells="1">
                  <from>
                    <xdr:col>4</xdr:col>
                    <xdr:colOff>137160</xdr:colOff>
                    <xdr:row>199</xdr:row>
                    <xdr:rowOff>7620</xdr:rowOff>
                  </from>
                  <to>
                    <xdr:col>5</xdr:col>
                    <xdr:colOff>708660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9" name="Caixa de seleção 82">
              <controlPr defaultSize="0" autoFill="0" autoLine="0" autoPict="0">
                <anchor moveWithCells="1">
                  <from>
                    <xdr:col>5</xdr:col>
                    <xdr:colOff>845820</xdr:colOff>
                    <xdr:row>211</xdr:row>
                    <xdr:rowOff>0</xdr:rowOff>
                  </from>
                  <to>
                    <xdr:col>7</xdr:col>
                    <xdr:colOff>403860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80" name="Caixa de seleção 99">
              <controlPr defaultSize="0" autoFill="0" autoLine="0" autoPict="0">
                <anchor moveWithCells="1">
                  <from>
                    <xdr:col>8</xdr:col>
                    <xdr:colOff>137160</xdr:colOff>
                    <xdr:row>192</xdr:row>
                    <xdr:rowOff>175260</xdr:rowOff>
                  </from>
                  <to>
                    <xdr:col>10</xdr:col>
                    <xdr:colOff>38100</xdr:colOff>
                    <xdr:row>194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1" name="Caixa de seleção 100">
              <controlPr defaultSize="0" autoFill="0" autoLine="0" autoPict="0">
                <anchor moveWithCells="1">
                  <from>
                    <xdr:col>10</xdr:col>
                    <xdr:colOff>137160</xdr:colOff>
                    <xdr:row>192</xdr:row>
                    <xdr:rowOff>175260</xdr:rowOff>
                  </from>
                  <to>
                    <xdr:col>12</xdr:col>
                    <xdr:colOff>144780</xdr:colOff>
                    <xdr:row>194</xdr:row>
                    <xdr:rowOff>68580</xdr:rowOff>
                  </to>
                </anchor>
              </controlPr>
            </control>
          </mc:Choice>
        </mc:AlternateContent>
      </controls>
    </mc:Choice>
  </mc:AlternateContent>
  <tableParts count="3">
    <tablePart r:id="rId82"/>
    <tablePart r:id="rId83"/>
    <tablePart r:id="rId8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B295-6E49-435C-8958-EB716F4E47B1}">
  <sheetPr>
    <pageSetUpPr fitToPage="1"/>
  </sheetPr>
  <dimension ref="A1:EW328"/>
  <sheetViews>
    <sheetView showGridLines="0" showRowColHeaders="0" zoomScale="80" zoomScaleNormal="80" zoomScaleSheetLayoutView="73" workbookViewId="0">
      <selection activeCell="D9" sqref="D9:H9"/>
    </sheetView>
  </sheetViews>
  <sheetFormatPr defaultColWidth="0" defaultRowHeight="14.45" customHeight="1" zeroHeight="1" x14ac:dyDescent="0.2"/>
  <cols>
    <col min="1" max="1" width="5.24609375" customWidth="1"/>
    <col min="2" max="2" width="1.61328125" customWidth="1"/>
    <col min="3" max="3" width="1.4765625" customWidth="1"/>
    <col min="4" max="4" width="14.66015625" customWidth="1"/>
    <col min="5" max="5" width="2.6875" customWidth="1"/>
    <col min="6" max="6" width="14.66015625" customWidth="1"/>
    <col min="7" max="7" width="2.6875" customWidth="1"/>
    <col min="8" max="8" width="16.0078125" bestFit="1" customWidth="1"/>
    <col min="9" max="9" width="2.6875" customWidth="1"/>
    <col min="10" max="10" width="16.94921875" customWidth="1"/>
    <col min="11" max="11" width="2.6875" customWidth="1"/>
    <col min="12" max="12" width="14.66015625" customWidth="1"/>
    <col min="13" max="13" width="2.6875" customWidth="1"/>
    <col min="14" max="14" width="14.66015625" customWidth="1"/>
    <col min="15" max="15" width="2.6875" customWidth="1"/>
    <col min="16" max="16" width="1.34375" customWidth="1"/>
    <col min="17" max="17" width="1.61328125" customWidth="1"/>
    <col min="18" max="18" width="9.14453125" hidden="1" customWidth="1"/>
    <col min="19" max="19" width="18.16015625" hidden="1" customWidth="1"/>
    <col min="20" max="20" width="12.375" hidden="1" customWidth="1"/>
    <col min="21" max="21" width="9.14453125" hidden="1" customWidth="1"/>
    <col min="22" max="22" width="20.984375" hidden="1" customWidth="1"/>
    <col min="23" max="25" width="9.14453125" hidden="1" customWidth="1"/>
    <col min="26" max="26" width="10.4921875" hidden="1" customWidth="1"/>
    <col min="27" max="30" width="9.14453125" hidden="1" customWidth="1"/>
    <col min="31" max="31" width="9.14453125" style="79" hidden="1" customWidth="1"/>
    <col min="32" max="74" width="9.14453125" hidden="1" customWidth="1"/>
    <col min="75" max="75" width="9.14453125" style="79" hidden="1" customWidth="1"/>
    <col min="76" max="79" width="9.14453125" hidden="1" customWidth="1"/>
    <col min="80" max="80" width="16.8125" hidden="1" customWidth="1"/>
    <col min="81" max="83" width="9.14453125" hidden="1" customWidth="1"/>
    <col min="84" max="84" width="19.37109375" hidden="1" customWidth="1"/>
    <col min="85" max="90" width="9.14453125" hidden="1" customWidth="1"/>
    <col min="91" max="91" width="10.4921875" hidden="1" customWidth="1"/>
    <col min="92" max="92" width="9.14453125" hidden="1" customWidth="1"/>
    <col min="93" max="93" width="10.625" hidden="1" customWidth="1"/>
    <col min="94" max="120" width="9.14453125" hidden="1" customWidth="1"/>
    <col min="121" max="121" width="9.14453125" style="79" hidden="1" customWidth="1"/>
    <col min="122" max="152" width="9.14453125" hidden="1" customWidth="1"/>
    <col min="153" max="153" width="9.14453125" style="79" hidden="1" customWidth="1"/>
    <col min="154" max="16384" width="9.14453125" hidden="1"/>
  </cols>
  <sheetData>
    <row r="1" spans="2:146" ht="15" customHeight="1" x14ac:dyDescent="0.2"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L1" t="s">
        <v>96</v>
      </c>
    </row>
    <row r="2" spans="2:146" ht="15" customHeight="1" x14ac:dyDescent="0.2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AF2" s="10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L2" t="s">
        <v>97</v>
      </c>
    </row>
    <row r="3" spans="2:146" ht="15" customHeight="1" x14ac:dyDescent="0.2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DS3" s="162"/>
      <c r="DT3" s="162"/>
      <c r="DU3" s="162"/>
      <c r="DV3" s="162"/>
      <c r="DW3" s="162"/>
      <c r="DY3" s="162"/>
      <c r="DZ3" s="162"/>
      <c r="EA3" s="162"/>
      <c r="EB3" s="162"/>
      <c r="EC3" s="162"/>
      <c r="ED3" s="162"/>
      <c r="EE3" s="162"/>
      <c r="EJ3" t="s">
        <v>95</v>
      </c>
    </row>
    <row r="4" spans="2:146" ht="15" customHeight="1" x14ac:dyDescent="0.2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7"/>
      <c r="Q4" s="22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J4" s="4">
        <f>IF(DZ9="feminino",0,1)</f>
        <v>1</v>
      </c>
    </row>
    <row r="5" spans="2:146" ht="15" customHeight="1" x14ac:dyDescent="0.2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7"/>
      <c r="Q5" s="22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J5" s="4"/>
    </row>
    <row r="6" spans="2:146" ht="15" customHeight="1" thickBot="1" x14ac:dyDescent="0.25">
      <c r="B6" s="227"/>
      <c r="C6" s="228"/>
      <c r="D6" s="228"/>
      <c r="E6" s="228"/>
      <c r="F6" s="228"/>
      <c r="G6" s="228"/>
      <c r="H6" s="228"/>
      <c r="I6" s="228"/>
      <c r="J6" s="228"/>
      <c r="K6" s="456"/>
      <c r="L6" s="456"/>
      <c r="M6" s="456"/>
      <c r="N6" s="229"/>
      <c r="O6" s="228"/>
      <c r="P6" s="227"/>
      <c r="Q6" s="227"/>
      <c r="AG6" s="46"/>
      <c r="AH6" s="46"/>
      <c r="AI6" s="46"/>
      <c r="AJ6" s="46"/>
      <c r="AK6" s="46"/>
      <c r="AL6" s="129"/>
      <c r="AM6" s="129"/>
      <c r="AN6" s="129"/>
      <c r="AO6" s="46"/>
      <c r="AP6" s="46"/>
      <c r="AQ6" s="46"/>
      <c r="AR6" s="46"/>
      <c r="AS6" s="46"/>
      <c r="BC6" s="314" t="s">
        <v>133</v>
      </c>
      <c r="BD6" s="314" t="s">
        <v>132</v>
      </c>
      <c r="BE6" s="314" t="s">
        <v>134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M6" s="314"/>
      <c r="CN6" s="314"/>
      <c r="CO6" s="314"/>
      <c r="DO6" s="42" t="s">
        <v>138</v>
      </c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G6" t="e">
        <f>DV11*DV26</f>
        <v>#VALUE!</v>
      </c>
    </row>
    <row r="7" spans="2:146" ht="15" customHeight="1" x14ac:dyDescent="0.2">
      <c r="B7" s="227"/>
      <c r="C7" s="374" t="s">
        <v>201</v>
      </c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227"/>
      <c r="BC7" s="314" t="str">
        <f>AX14</f>
        <v>-</v>
      </c>
      <c r="BD7" s="314">
        <f>AV15</f>
        <v>1</v>
      </c>
      <c r="BE7" s="32" t="str">
        <f>AZ13</f>
        <v>-</v>
      </c>
      <c r="CM7" s="314"/>
      <c r="CN7" s="314"/>
      <c r="CO7" s="32"/>
      <c r="DM7" s="42" t="s">
        <v>133</v>
      </c>
      <c r="DO7" s="42">
        <f>CB31</f>
        <v>-11.2</v>
      </c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I7" s="17" t="s">
        <v>46</v>
      </c>
    </row>
    <row r="8" spans="2:146" ht="15" x14ac:dyDescent="0.2">
      <c r="B8" s="227"/>
      <c r="C8" s="238"/>
      <c r="D8" s="276" t="s">
        <v>0</v>
      </c>
      <c r="E8" s="276"/>
      <c r="F8" s="276"/>
      <c r="G8" s="276"/>
      <c r="H8" s="276"/>
      <c r="I8" s="276"/>
      <c r="J8" s="276" t="s">
        <v>1</v>
      </c>
      <c r="K8" s="276"/>
      <c r="L8" s="276" t="s">
        <v>3</v>
      </c>
      <c r="M8" s="276"/>
      <c r="N8" s="276" t="s">
        <v>2</v>
      </c>
      <c r="O8" s="276"/>
      <c r="P8" s="277"/>
      <c r="Q8" s="227"/>
      <c r="BC8" s="314" t="str">
        <f t="shared" ref="BC8:BE10" si="0">BC7</f>
        <v>-</v>
      </c>
      <c r="BD8" s="314">
        <f t="shared" si="0"/>
        <v>1</v>
      </c>
      <c r="BE8" s="32" t="str">
        <f t="shared" si="0"/>
        <v>-</v>
      </c>
      <c r="CM8" s="32" t="e">
        <f>CF31</f>
        <v>#VALUE!</v>
      </c>
      <c r="CN8" s="314"/>
      <c r="CO8" s="32" t="e">
        <f>CF31</f>
        <v>#VALUE!</v>
      </c>
      <c r="DK8" s="42" t="s">
        <v>132</v>
      </c>
      <c r="DM8" s="42" t="str">
        <f>DB14</f>
        <v>-</v>
      </c>
      <c r="ED8" s="498">
        <f ca="1">TODAY()</f>
        <v>44149</v>
      </c>
      <c r="EE8" s="498"/>
      <c r="EI8" s="27" t="s">
        <v>38</v>
      </c>
    </row>
    <row r="9" spans="2:146" ht="15" x14ac:dyDescent="0.2">
      <c r="B9" s="227"/>
      <c r="C9" s="240"/>
      <c r="D9" s="494"/>
      <c r="E9" s="495"/>
      <c r="F9" s="495"/>
      <c r="G9" s="495"/>
      <c r="H9" s="496"/>
      <c r="I9" s="221"/>
      <c r="J9" s="222"/>
      <c r="K9" s="221"/>
      <c r="L9" s="223"/>
      <c r="M9" s="221"/>
      <c r="N9" s="230" t="str">
        <f>'Avaliação Física 3'!DV9</f>
        <v>-</v>
      </c>
      <c r="O9" s="221"/>
      <c r="P9" s="278"/>
      <c r="Q9" s="227"/>
      <c r="S9" s="106"/>
      <c r="T9" s="106"/>
      <c r="U9" s="106"/>
      <c r="V9" s="106"/>
      <c r="AH9" s="126" t="s">
        <v>49</v>
      </c>
      <c r="AI9" s="126"/>
      <c r="AJ9" s="31">
        <f>'Avaliação Física 3'!F85</f>
        <v>0</v>
      </c>
      <c r="AN9" s="126" t="s">
        <v>119</v>
      </c>
      <c r="AO9" s="126"/>
      <c r="AP9" s="10">
        <f>'Avaliação Física 3'!DV11</f>
        <v>0</v>
      </c>
      <c r="BC9" s="314" t="str">
        <f t="shared" si="0"/>
        <v>-</v>
      </c>
      <c r="BD9" s="314">
        <f t="shared" si="0"/>
        <v>1</v>
      </c>
      <c r="BE9" s="32" t="str">
        <f t="shared" si="0"/>
        <v>-</v>
      </c>
      <c r="BZ9" s="126" t="s">
        <v>41</v>
      </c>
      <c r="CA9" s="126"/>
      <c r="CB9" s="144">
        <f>'Avaliação Física 3'!L9</f>
        <v>0</v>
      </c>
      <c r="CC9" s="145"/>
      <c r="CD9" s="126" t="s">
        <v>148</v>
      </c>
      <c r="CE9" s="126"/>
      <c r="CF9" s="144" t="str">
        <f>'Avaliação Física 3'!DV9</f>
        <v>-</v>
      </c>
      <c r="CG9" s="145"/>
      <c r="CM9" s="314"/>
      <c r="CN9" s="314"/>
      <c r="CO9" s="32"/>
      <c r="DK9" s="42">
        <f>CZ15</f>
        <v>1</v>
      </c>
      <c r="DT9" s="426" t="s">
        <v>2</v>
      </c>
      <c r="DU9" s="426"/>
      <c r="DV9" s="8" t="str">
        <f>IF(J9="","-",INT((ED8-'Avaliação Física 3'!J9)/365.25))</f>
        <v>-</v>
      </c>
      <c r="DX9" s="426" t="s">
        <v>41</v>
      </c>
      <c r="DY9" s="426"/>
      <c r="DZ9" s="10">
        <f>'Avaliação Física 3'!L9</f>
        <v>0</v>
      </c>
      <c r="EI9" s="14" t="e">
        <f>1.112-(0.00043499*(DV23))+(0.00000055*(DV23*DV23))-(0.00028826*(DV9))</f>
        <v>#VALUE!</v>
      </c>
      <c r="EP9" t="s">
        <v>48</v>
      </c>
    </row>
    <row r="10" spans="2:146" ht="15" x14ac:dyDescent="0.2">
      <c r="B10" s="227"/>
      <c r="C10" s="240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301"/>
      <c r="O10" s="221"/>
      <c r="P10" s="278"/>
      <c r="Q10" s="227"/>
      <c r="S10" s="106"/>
      <c r="T10" s="106"/>
      <c r="U10" s="106"/>
      <c r="V10" s="106"/>
      <c r="AH10" s="126" t="s">
        <v>50</v>
      </c>
      <c r="AI10" s="126"/>
      <c r="AJ10" s="31">
        <f>'Avaliação Física 3'!F84</f>
        <v>0</v>
      </c>
      <c r="AN10" s="126" t="s">
        <v>61</v>
      </c>
      <c r="AO10" s="126"/>
      <c r="AP10" s="72">
        <f>'Avaliação Física 3'!DV12</f>
        <v>0</v>
      </c>
      <c r="BC10" s="314" t="str">
        <f t="shared" si="0"/>
        <v>-</v>
      </c>
      <c r="BD10" s="314">
        <f t="shared" si="0"/>
        <v>1</v>
      </c>
      <c r="BE10" s="32" t="str">
        <f t="shared" si="0"/>
        <v>-</v>
      </c>
      <c r="CF10" s="126"/>
      <c r="CG10" s="126"/>
      <c r="CM10" s="314"/>
      <c r="CN10" s="314"/>
      <c r="CO10" s="32"/>
      <c r="DT10" s="490" t="s">
        <v>15</v>
      </c>
      <c r="DU10" s="490"/>
      <c r="DV10" s="490"/>
      <c r="EB10" s="477" t="s">
        <v>36</v>
      </c>
      <c r="EC10" s="477"/>
      <c r="ED10" s="477"/>
      <c r="EI10" s="14"/>
    </row>
    <row r="11" spans="2:146" ht="15.75" thickBot="1" x14ac:dyDescent="0.25">
      <c r="B11" s="227"/>
      <c r="C11" s="240"/>
      <c r="D11" s="221" t="s">
        <v>4</v>
      </c>
      <c r="E11" s="221"/>
      <c r="F11" s="221"/>
      <c r="G11" s="221"/>
      <c r="H11" s="221"/>
      <c r="I11" s="221"/>
      <c r="J11" s="221" t="s">
        <v>5</v>
      </c>
      <c r="K11" s="221"/>
      <c r="L11" s="221"/>
      <c r="M11" s="221"/>
      <c r="N11" s="221" t="s">
        <v>6</v>
      </c>
      <c r="O11" s="221"/>
      <c r="P11" s="278"/>
      <c r="Q11" s="227"/>
      <c r="S11" s="107"/>
      <c r="T11" s="107" t="b">
        <v>0</v>
      </c>
      <c r="U11" s="107"/>
      <c r="V11" s="106"/>
      <c r="AH11" s="126" t="s">
        <v>59</v>
      </c>
      <c r="AI11" s="138"/>
      <c r="AJ11" s="31">
        <f>'Avaliação Física 3'!F86</f>
        <v>0</v>
      </c>
      <c r="BC11" s="47"/>
      <c r="BD11" s="48"/>
      <c r="BE11" s="48"/>
      <c r="BF11" s="48"/>
      <c r="BG11" s="48"/>
      <c r="BH11" s="48"/>
      <c r="BI11" s="48"/>
      <c r="BJ11" s="48"/>
      <c r="BK11" s="49"/>
      <c r="BN11" s="47"/>
      <c r="BO11" s="48"/>
      <c r="BP11" s="48"/>
      <c r="BQ11" s="48"/>
      <c r="BR11" s="48"/>
      <c r="BS11" s="48"/>
      <c r="BT11" s="48"/>
      <c r="BU11" s="49"/>
      <c r="BZ11" s="126"/>
      <c r="CA11" s="126"/>
      <c r="CM11" s="47"/>
      <c r="CN11" s="48"/>
      <c r="CO11" s="48"/>
      <c r="CP11" s="48"/>
      <c r="CQ11" s="48"/>
      <c r="CR11" s="48"/>
      <c r="CS11" s="48"/>
      <c r="CT11" s="49"/>
      <c r="CU11" s="49"/>
      <c r="CX11" s="47"/>
      <c r="CY11" s="48"/>
      <c r="CZ11" s="48"/>
      <c r="DA11" s="48"/>
      <c r="DB11" s="48"/>
      <c r="DC11" s="48"/>
      <c r="DD11" s="48"/>
      <c r="DE11" s="49"/>
      <c r="DH11" s="314"/>
      <c r="DJ11" s="314"/>
      <c r="DK11" s="314"/>
      <c r="DL11" s="314"/>
      <c r="DN11" s="121" t="s">
        <v>27</v>
      </c>
      <c r="DO11" s="121"/>
      <c r="DT11" s="426" t="s">
        <v>118</v>
      </c>
      <c r="DU11" s="426"/>
      <c r="DV11" s="31">
        <f>'Avaliação Física 3'!F72</f>
        <v>0</v>
      </c>
      <c r="DX11" s="426" t="s">
        <v>26</v>
      </c>
      <c r="DY11" s="426"/>
      <c r="DZ11" s="9" t="e">
        <f>IF(DV11="","-",SUM(DV11/(DV12*DV12)))</f>
        <v>#DIV/0!</v>
      </c>
      <c r="EB11" s="478" t="str">
        <f>IF(DV12&gt;0,VLOOKUP(DZ11,AUX_IMC_Classificação58[],2,TRUE),"(informe peso e altura)")</f>
        <v>(informe peso e altura)</v>
      </c>
      <c r="EC11" s="479"/>
      <c r="ED11" s="480"/>
      <c r="EI11" s="27" t="s">
        <v>39</v>
      </c>
    </row>
    <row r="12" spans="2:146" ht="15.75" thickBot="1" x14ac:dyDescent="0.25">
      <c r="B12" s="227"/>
      <c r="C12" s="240"/>
      <c r="D12" s="432"/>
      <c r="E12" s="433"/>
      <c r="F12" s="433"/>
      <c r="G12" s="433"/>
      <c r="H12" s="434"/>
      <c r="I12" s="221"/>
      <c r="J12" s="432"/>
      <c r="K12" s="433"/>
      <c r="L12" s="434"/>
      <c r="M12" s="221"/>
      <c r="N12" s="224"/>
      <c r="O12" s="221"/>
      <c r="P12" s="278"/>
      <c r="Q12" s="227"/>
      <c r="S12" s="107"/>
      <c r="T12" s="107" t="b">
        <v>0</v>
      </c>
      <c r="U12" s="107"/>
      <c r="V12" s="106"/>
      <c r="AH12" s="126" t="s">
        <v>51</v>
      </c>
      <c r="AI12" s="126"/>
      <c r="AJ12" s="31">
        <f>'Avaliação Física 3'!F87</f>
        <v>0</v>
      </c>
      <c r="AN12" s="126" t="s">
        <v>62</v>
      </c>
      <c r="AO12" s="126"/>
      <c r="AP12" s="44" t="str">
        <f>'Avaliação Física 3'!E91</f>
        <v>-</v>
      </c>
      <c r="AZ12" s="42" t="s">
        <v>62</v>
      </c>
      <c r="BC12" s="50"/>
      <c r="BJ12" s="51" t="s">
        <v>138</v>
      </c>
      <c r="BK12" s="52"/>
      <c r="BN12" s="50"/>
      <c r="BT12" s="42" t="s">
        <v>138</v>
      </c>
      <c r="BU12" s="52"/>
      <c r="BZ12" s="126" t="s">
        <v>149</v>
      </c>
      <c r="CA12" s="126"/>
      <c r="CB12" s="126"/>
      <c r="CC12" s="126"/>
      <c r="CD12" s="113">
        <f>'Avaliação Física 3'!L281</f>
        <v>0</v>
      </c>
      <c r="CF12" s="126" t="s">
        <v>150</v>
      </c>
      <c r="CG12" s="126"/>
      <c r="CH12" s="44" t="str">
        <f>IF(CD12="","-",DC18)</f>
        <v>-</v>
      </c>
      <c r="CI12" s="21"/>
      <c r="CM12" s="50"/>
      <c r="CS12" s="42" t="s">
        <v>138</v>
      </c>
      <c r="CT12" s="52"/>
      <c r="CU12" s="52"/>
      <c r="CX12" s="50"/>
      <c r="DD12" s="42" t="s">
        <v>138</v>
      </c>
      <c r="DE12" s="52"/>
      <c r="DH12" s="314"/>
      <c r="DJ12" s="314"/>
      <c r="DK12" s="314"/>
      <c r="DL12" s="314"/>
      <c r="DN12" s="121" t="str">
        <f>IF(AND(DK9=0,DM8&lt;=29),VLOOKUP(DO7,DH19:DI23,2,TRUE),IF(AND(DK9=0,DM8&lt;=39),VLOOKUP(DO7,DH26:DI30,2,TRUE),IF(AND(DK9=0,DM8&lt;=49),VLOOKUP(DO7,DH32:DI36,2,TRUE),IF(AND(DK9=0,DM8&lt;=59),VLOOKUP(DO7,DH38:DI42,2,TRUE),IF(AND(DK9=0,DM8&lt;=69),VLOOKUP(DO7,DH44:DI48,2,TRUE),IF(AND(DK9=1,DM8&lt;=29),VLOOKUP(DO7,DK19:DL23,2,TRUE),IF(AND(DK9=1,DM8&lt;=39),VLOOKUP(DO7,DK26:DL30,2,TRUE),IF(AND(DK9=1,DM8&lt;=49),VLOOKUP(DO7,DK32:DL36,2,TRUE),IF(AND(DK9=1,DM8&lt;=59),VLOOKUP(DO7,DK38:DL42,2,TRUE),IF(AND(DK9=1,DM8&lt;=69),VLOOKUP(DO7,DK44:DL48,2,TRUE),"-"))))))))))</f>
        <v>-</v>
      </c>
      <c r="DO12" s="121"/>
      <c r="DT12" s="426" t="s">
        <v>17</v>
      </c>
      <c r="DU12" s="426"/>
      <c r="DV12" s="45">
        <f>'Avaliação Física 3'!J72</f>
        <v>0</v>
      </c>
      <c r="EI12" s="15" t="e">
        <f>1.097-(0.00046971*(DV23))+(0.00000056*(DV23*DV23))-(0.00012828*(DV9))</f>
        <v>#VALUE!</v>
      </c>
      <c r="EL12" s="474" t="s">
        <v>45</v>
      </c>
      <c r="EM12" s="475"/>
      <c r="EN12" s="476"/>
    </row>
    <row r="13" spans="2:146" ht="15" x14ac:dyDescent="0.2">
      <c r="B13" s="227"/>
      <c r="C13" s="240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78"/>
      <c r="Q13" s="227"/>
      <c r="S13" s="107"/>
      <c r="T13" s="107" t="b">
        <v>0</v>
      </c>
      <c r="U13" s="107"/>
      <c r="V13" s="106"/>
      <c r="AH13" s="126" t="s">
        <v>52</v>
      </c>
      <c r="AI13" s="126"/>
      <c r="AJ13" s="31">
        <f>'Avaliação Física 3'!F88</f>
        <v>0</v>
      </c>
      <c r="AX13" s="42" t="s">
        <v>133</v>
      </c>
      <c r="AZ13" s="43" t="str">
        <f>AP12</f>
        <v>-</v>
      </c>
      <c r="BC13" s="50"/>
      <c r="BH13" s="42" t="s">
        <v>133</v>
      </c>
      <c r="BJ13" s="42"/>
      <c r="BK13" s="52"/>
      <c r="BN13" s="50"/>
      <c r="BR13" s="42" t="s">
        <v>133</v>
      </c>
      <c r="BT13" s="42">
        <v>11</v>
      </c>
      <c r="BU13" s="52"/>
      <c r="CM13" s="50"/>
      <c r="CQ13" s="42" t="s">
        <v>133</v>
      </c>
      <c r="CS13" s="42">
        <f>CD20</f>
        <v>0</v>
      </c>
      <c r="CT13" s="52"/>
      <c r="CU13" s="52"/>
      <c r="CX13" s="50"/>
      <c r="DB13" s="42" t="s">
        <v>133</v>
      </c>
      <c r="DD13" s="42">
        <f>CD12</f>
        <v>0</v>
      </c>
      <c r="DE13" s="52"/>
      <c r="EL13" s="20" t="s">
        <v>40</v>
      </c>
      <c r="EM13" s="21" t="e">
        <f>((4.95/EI9)-4.5)*100</f>
        <v>#VALUE!</v>
      </c>
      <c r="EN13" s="22"/>
    </row>
    <row r="14" spans="2:146" ht="15" x14ac:dyDescent="0.2">
      <c r="B14" s="227"/>
      <c r="C14" s="240"/>
      <c r="D14" s="221" t="s">
        <v>7</v>
      </c>
      <c r="E14" s="221"/>
      <c r="F14" s="221"/>
      <c r="G14" s="221"/>
      <c r="H14" s="221" t="s">
        <v>244</v>
      </c>
      <c r="I14" s="221"/>
      <c r="J14" s="221"/>
      <c r="K14" s="221"/>
      <c r="L14" s="221" t="s">
        <v>8</v>
      </c>
      <c r="M14" s="221"/>
      <c r="N14" s="306" t="s">
        <v>243</v>
      </c>
      <c r="O14" s="221"/>
      <c r="P14" s="278"/>
      <c r="Q14" s="227"/>
      <c r="S14" s="107"/>
      <c r="T14" s="107" t="b">
        <v>0</v>
      </c>
      <c r="U14" s="107"/>
      <c r="V14" s="106"/>
      <c r="AH14" s="310"/>
      <c r="AI14" s="310"/>
      <c r="AN14" s="126" t="s">
        <v>27</v>
      </c>
      <c r="AO14" s="126"/>
      <c r="AP14" s="130" t="str">
        <f>AY18</f>
        <v>-</v>
      </c>
      <c r="AQ14" s="130"/>
      <c r="AV14" s="42" t="s">
        <v>132</v>
      </c>
      <c r="AX14" s="42" t="str">
        <f>'Avaliação Física 3'!DV9</f>
        <v>-</v>
      </c>
      <c r="BC14" s="50"/>
      <c r="BF14" s="42" t="s">
        <v>132</v>
      </c>
      <c r="BH14" s="42" t="str">
        <f>AX14</f>
        <v>-</v>
      </c>
      <c r="BK14" s="52"/>
      <c r="BN14" s="50"/>
      <c r="BP14" s="42" t="s">
        <v>132</v>
      </c>
      <c r="BR14" s="42" t="str">
        <f>BH14</f>
        <v>-</v>
      </c>
      <c r="BU14" s="52"/>
      <c r="BZ14" s="310"/>
      <c r="CA14" s="310"/>
      <c r="CF14" s="126"/>
      <c r="CG14" s="126"/>
      <c r="CH14" s="126"/>
      <c r="CI14" s="126"/>
      <c r="CM14" s="50"/>
      <c r="CO14" s="42" t="s">
        <v>132</v>
      </c>
      <c r="CQ14" s="42" t="str">
        <f>CF9</f>
        <v>-</v>
      </c>
      <c r="CT14" s="52"/>
      <c r="CU14" s="52"/>
      <c r="CX14" s="50"/>
      <c r="CZ14" s="42" t="s">
        <v>132</v>
      </c>
      <c r="DB14" s="42" t="str">
        <f>CF9</f>
        <v>-</v>
      </c>
      <c r="DE14" s="52"/>
      <c r="DT14" s="490" t="s">
        <v>16</v>
      </c>
      <c r="DU14" s="490"/>
      <c r="DV14" s="490"/>
      <c r="EL14" s="23"/>
      <c r="EN14" s="22"/>
    </row>
    <row r="15" spans="2:146" ht="15" x14ac:dyDescent="0.2">
      <c r="B15" s="227"/>
      <c r="C15" s="240"/>
      <c r="D15" s="432"/>
      <c r="E15" s="433"/>
      <c r="F15" s="434"/>
      <c r="G15" s="221"/>
      <c r="H15" s="435"/>
      <c r="I15" s="433"/>
      <c r="J15" s="434"/>
      <c r="K15" s="221"/>
      <c r="L15" s="225"/>
      <c r="M15" s="220"/>
      <c r="N15" s="226"/>
      <c r="O15" s="221"/>
      <c r="P15" s="278"/>
      <c r="Q15" s="227"/>
      <c r="S15" s="107"/>
      <c r="T15" s="107" t="b">
        <v>0</v>
      </c>
      <c r="U15" s="107"/>
      <c r="V15" s="106"/>
      <c r="AH15" s="310"/>
      <c r="AI15" s="310"/>
      <c r="AJ15" s="314" t="s">
        <v>57</v>
      </c>
      <c r="AK15" s="314"/>
      <c r="AL15" s="314" t="s">
        <v>58</v>
      </c>
      <c r="AV15" s="42">
        <f>IF(L9="feminino",0,1)</f>
        <v>1</v>
      </c>
      <c r="BC15" s="50"/>
      <c r="BF15" s="42">
        <f>AV15</f>
        <v>1</v>
      </c>
      <c r="BK15" s="52"/>
      <c r="BN15" s="50"/>
      <c r="BP15" s="42">
        <f>BF15</f>
        <v>1</v>
      </c>
      <c r="BU15" s="52"/>
      <c r="CM15" s="50"/>
      <c r="CO15" s="42">
        <f>IF(CB9="feminino",0,1)</f>
        <v>1</v>
      </c>
      <c r="CT15" s="52"/>
      <c r="CU15" s="52"/>
      <c r="CX15" s="50"/>
      <c r="CZ15" s="42">
        <f>CO15</f>
        <v>1</v>
      </c>
      <c r="DE15" s="52"/>
      <c r="DT15" s="426" t="s">
        <v>18</v>
      </c>
      <c r="DU15" s="426"/>
      <c r="DV15" s="31">
        <f>'Avaliação Física 3'!F77</f>
        <v>0</v>
      </c>
      <c r="EL15" s="481" t="s">
        <v>44</v>
      </c>
      <c r="EM15" s="477"/>
      <c r="EN15" s="482"/>
    </row>
    <row r="16" spans="2:146" ht="15" x14ac:dyDescent="0.2">
      <c r="B16" s="227"/>
      <c r="C16" s="241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227"/>
      <c r="S16" s="107"/>
      <c r="T16" s="107" t="b">
        <v>0</v>
      </c>
      <c r="U16" s="107"/>
      <c r="V16" s="106"/>
      <c r="AH16" s="126" t="s">
        <v>53</v>
      </c>
      <c r="AI16" s="126"/>
      <c r="AJ16" s="31">
        <f>'Avaliação Física 3'!J84</f>
        <v>0</v>
      </c>
      <c r="AL16" s="31">
        <f>'Avaliação Física 3'!L84</f>
        <v>0</v>
      </c>
      <c r="AP16" s="314" t="s">
        <v>92</v>
      </c>
      <c r="AR16" s="314" t="s">
        <v>93</v>
      </c>
      <c r="BC16" s="133"/>
      <c r="BD16" s="126"/>
      <c r="BE16" s="314"/>
      <c r="BF16" s="314"/>
      <c r="BG16" s="314"/>
      <c r="BH16" s="314"/>
      <c r="BI16" s="126" t="s">
        <v>136</v>
      </c>
      <c r="BJ16" s="126"/>
      <c r="BK16" s="53"/>
      <c r="BL16" s="314"/>
      <c r="BM16" s="314"/>
      <c r="BN16" s="50"/>
      <c r="BS16" s="126" t="s">
        <v>137</v>
      </c>
      <c r="BT16" s="126"/>
      <c r="BU16" s="52"/>
      <c r="CM16" s="50"/>
      <c r="CR16" s="126" t="s">
        <v>136</v>
      </c>
      <c r="CS16" s="126"/>
      <c r="CT16" s="52"/>
      <c r="CU16" s="53"/>
      <c r="CV16" s="314"/>
      <c r="CW16" s="314"/>
      <c r="CX16" s="50"/>
      <c r="DC16" s="126" t="s">
        <v>137</v>
      </c>
      <c r="DD16" s="126"/>
      <c r="DE16" s="52"/>
      <c r="DT16" s="426" t="s">
        <v>19</v>
      </c>
      <c r="DU16" s="426"/>
      <c r="DV16" s="31">
        <f>'Avaliação Física 3'!F78</f>
        <v>0</v>
      </c>
      <c r="EH16" s="6" t="s">
        <v>26</v>
      </c>
      <c r="EI16" s="6" t="s">
        <v>27</v>
      </c>
      <c r="EL16" s="20" t="s">
        <v>40</v>
      </c>
      <c r="EM16" s="21" t="e">
        <f>((4.95/EI12)-4.5)*100</f>
        <v>#VALUE!</v>
      </c>
      <c r="EN16" s="22"/>
    </row>
    <row r="17" spans="2:144" ht="6" customHeight="1" thickBot="1" x14ac:dyDescent="0.25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S17" s="107"/>
      <c r="T17" s="107"/>
      <c r="U17" s="107"/>
      <c r="V17" s="106"/>
      <c r="AH17" s="126" t="s">
        <v>54</v>
      </c>
      <c r="AI17" s="126"/>
      <c r="AJ17" s="31">
        <f>'Avaliação Física 3'!J85</f>
        <v>0</v>
      </c>
      <c r="AL17" s="31">
        <f>'Avaliação Física 3'!L85</f>
        <v>0</v>
      </c>
      <c r="AN17" s="126" t="s">
        <v>12</v>
      </c>
      <c r="AO17" s="138"/>
      <c r="AP17" s="113"/>
      <c r="AR17" s="113"/>
      <c r="AU17" s="122" t="s">
        <v>37</v>
      </c>
      <c r="AV17" s="122"/>
      <c r="AY17" s="121" t="s">
        <v>27</v>
      </c>
      <c r="AZ17" s="121"/>
      <c r="BC17" s="134"/>
      <c r="BD17" s="85"/>
      <c r="BE17" s="122" t="s">
        <v>37</v>
      </c>
      <c r="BF17" s="122"/>
      <c r="BI17" s="121" t="s">
        <v>27</v>
      </c>
      <c r="BJ17" s="121"/>
      <c r="BK17" s="54"/>
      <c r="BL17" s="114"/>
      <c r="BM17" s="114"/>
      <c r="BN17" s="50"/>
      <c r="BO17" s="122" t="s">
        <v>37</v>
      </c>
      <c r="BP17" s="122"/>
      <c r="BS17" s="121" t="s">
        <v>27</v>
      </c>
      <c r="BT17" s="121"/>
      <c r="BU17" s="52"/>
      <c r="BZ17" s="126" t="s">
        <v>41</v>
      </c>
      <c r="CA17" s="126"/>
      <c r="CB17" s="144">
        <f>CB9</f>
        <v>0</v>
      </c>
      <c r="CC17" s="145"/>
      <c r="CD17" s="126" t="s">
        <v>148</v>
      </c>
      <c r="CE17" s="126"/>
      <c r="CF17" s="144" t="str">
        <f>CF9</f>
        <v>-</v>
      </c>
      <c r="CG17" s="145"/>
      <c r="CM17" s="50"/>
      <c r="CN17" s="122" t="s">
        <v>37</v>
      </c>
      <c r="CO17" s="122"/>
      <c r="CR17" s="121" t="s">
        <v>27</v>
      </c>
      <c r="CS17" s="121"/>
      <c r="CT17" s="52"/>
      <c r="CU17" s="54"/>
      <c r="CV17" s="114"/>
      <c r="CW17" s="114"/>
      <c r="CX17" s="50"/>
      <c r="CY17" s="122" t="s">
        <v>37</v>
      </c>
      <c r="CZ17" s="122"/>
      <c r="DC17" s="121" t="s">
        <v>27</v>
      </c>
      <c r="DD17" s="121"/>
      <c r="DE17" s="52"/>
      <c r="DH17" s="122" t="s">
        <v>37</v>
      </c>
      <c r="DI17" s="122"/>
      <c r="DK17" s="123" t="s">
        <v>135</v>
      </c>
      <c r="DL17" s="123"/>
      <c r="DT17" s="426" t="s">
        <v>20</v>
      </c>
      <c r="DU17" s="426"/>
      <c r="DV17" s="31">
        <f>'Avaliação Física 3'!J77</f>
        <v>0</v>
      </c>
      <c r="EH17" s="7">
        <v>0</v>
      </c>
      <c r="EI17" s="7" t="s">
        <v>28</v>
      </c>
      <c r="EL17" s="24"/>
      <c r="EM17" s="25"/>
      <c r="EN17" s="26"/>
    </row>
    <row r="18" spans="2:144" ht="15" x14ac:dyDescent="0.2">
      <c r="B18" s="227"/>
      <c r="C18" s="362" t="s">
        <v>202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227"/>
      <c r="S18" s="106"/>
      <c r="T18" s="106"/>
      <c r="U18" s="106"/>
      <c r="V18" s="106"/>
      <c r="AH18" s="126" t="s">
        <v>55</v>
      </c>
      <c r="AI18" s="126"/>
      <c r="AJ18" s="31">
        <f>'Avaliação Física 3'!J86</f>
        <v>0</v>
      </c>
      <c r="AL18" s="31">
        <f>'Avaliação Física 3'!L86</f>
        <v>0</v>
      </c>
      <c r="AU18" s="124" t="s">
        <v>64</v>
      </c>
      <c r="AV18" s="124"/>
      <c r="AY18" s="121" t="str">
        <f>IF(AND(AV15=0,AX14&lt;=29),VLOOKUP(AZ13,AU19:AV22,2,TRUE),IF(AND(AV15=0,AX14&lt;=39),VLOOKUP(AZ13,AU26:AV29,2,TRUE),IF(AND(AV15=0,AX14&lt;=49),VLOOKUP(AZ13,AU32:AV36,2,TRUE),IF(AND(AV15=0,AX14&lt;=59),VLOOKUP(AZ13,AU38:AV41,2,TRUE),IF(AND(AV15=0,AX14&lt;=69),VLOOKUP(AZ13,AU44:AV47,2,TRUE),IF(AND(AV15=1,AX14&lt;=29),VLOOKUP(AZ13,AX25:AY28,2,TRUE),IF(AND(AV15=1,AX14&lt;=39),VLOOKUP(AZ13,AX32:AY35,2,TRUE),IF(AND(AV15=1,AX14&lt;=49),VLOOKUP(AZ13,AX38:AY41,2,TRUE),IF(AND(AV15=1,AX14&lt;=59),VLOOKUP(AZ13,AX44:AY47,2,TRUE),IF(AND(AV15=1,AX14&lt;=69),VLOOKUP(AZ13,AX50:AY53,2,TRUE),"-"))))))))))</f>
        <v>-</v>
      </c>
      <c r="AZ18" s="121"/>
      <c r="BC18" s="134"/>
      <c r="BD18" s="85"/>
      <c r="BE18" s="124" t="s">
        <v>64</v>
      </c>
      <c r="BF18" s="124"/>
      <c r="BI18" s="121" t="str">
        <f>IF(AND(BF15=0,BH14&lt;=29),VLOOKUP(BJ13,BE19:BF22,2,TRUE),IF(AND(BF15=0,BH14&lt;=39),VLOOKUP(BJ13,BE26:BF27,2,TRUE),IF(AND(BF15=0,BH14&lt;=49),VLOOKUP(BJ13,#REF!,2,TRUE),IF(AND(BF15=0,BH14&lt;=59),VLOOKUP(BJ13,#REF!,2,TRUE),IF(AND(BF15=0,BH14&lt;=69),VLOOKUP(BJ13,BE28:BF31,2,TRUE),IF(AND(BF15=1,BH14&lt;=29),VLOOKUP(BJ13,BH25:BI27,2,TRUE),IF(AND(BF15=1,BH14&lt;=39),VLOOKUP(BJ13,#REF!,2,TRUE),IF(AND(BF15=1,BH14&lt;=49),VLOOKUP(BJ13,#REF!,2,TRUE),IF(AND(BF15=1,BH14&lt;=59),VLOOKUP(BJ13,BH28:BI31,2,TRUE),IF(AND(BF15=1,BH14&lt;=69),VLOOKUP(BJ13,BH34:BI40,2,TRUE),"-"))))))))))</f>
        <v>-</v>
      </c>
      <c r="BJ18" s="121"/>
      <c r="BK18" s="54"/>
      <c r="BL18" s="114"/>
      <c r="BM18" s="114"/>
      <c r="BN18" s="50"/>
      <c r="BO18" s="124" t="s">
        <v>139</v>
      </c>
      <c r="BP18" s="124"/>
      <c r="BS18" s="121" t="str">
        <f>IF(AND(BP15=0,BR14&lt;=19),VLOOKUP(BT13,BO19:BP23,2,TRUE),IF(AND(BP15=0,BR14&lt;=29),VLOOKUP(BT13,BO26:BP27,2,TRUE),IF(AND(BP15=0,BR14&lt;=39),VLOOKUP(BT13,#REF!,2,TRUE),IF(AND(BP15=0,BR14&lt;=49),VLOOKUP(BT13,#REF!,2,TRUE),IF(AND(BP15=0,BR14&lt;=59),VLOOKUP(BT13,BO28:BP31,2,TRUE),IF(AND(BP15=0,BR14&lt;=69),VLOOKUP(BT13,BO38:BP42,2,TRUE),IF(AND(BP15=1,BR14&lt;=19),VLOOKUP(BT13,BR25:BS27,2,TRUE),IF(AND(BP15=1,BR14&lt;=29),VLOOKUP(BT13,#REF!,2,TRUE),IF(AND(BP15=1,BR14&lt;=39),VLOOKUP(BT13,#REF!,2,TRUE),IF(AND(BP15=1,BR14&lt;=49),VLOOKUP(BT13,BR28:BS31,2,TRUE),IF(AND(BP15=1,BR14&lt;=59),VLOOKUP(BT13,BR34:BS40,2,TRUE),IF(AND(BP15=1,BR14&lt;=69),VLOOKUP(BT13,BR44:BS48,2,TRUE),"-"))))))))))))</f>
        <v>-</v>
      </c>
      <c r="BT18" s="121"/>
      <c r="BU18" s="52"/>
      <c r="CF18" s="126"/>
      <c r="CG18" s="126"/>
      <c r="CM18" s="50"/>
      <c r="CN18" s="124" t="s">
        <v>139</v>
      </c>
      <c r="CO18" s="124"/>
      <c r="CR18" s="121" t="str">
        <f>IF(AND(CO15=0,CQ14&lt;=19),VLOOKUP(CS13,CN19:CO23,2,TRUE),IF(AND(CO15=0,CQ14&lt;=29),VLOOKUP(CS13,CN26:CO30,2,TRUE),IF(AND(CO15=0,CQ14&lt;=39),VLOOKUP(CS13,CN32:CO36,2,TRUE),IF(AND(CO15=0,CQ14&lt;=49),VLOOKUP(CS13,CN38:CO42,2,TRUE),IF(AND(CO15=0,CQ14&lt;=59),VLOOKUP(CS13,CN44:CO48,2,TRUE),IF(AND(CO15=0,CQ14&lt;=69),VLOOKUP(CS13,CN51:CO55,2,TRUE),IF(AND(CO15=1,CQ14&lt;=19),VLOOKUP(CS13,CQ25:CR29,2,TRUE),IF(AND(CO15=1,CQ14&lt;=29),VLOOKUP(CS13,CQ32:CR36,2,TRUE),IF(AND(CO15=1,CQ14&lt;=39),VLOOKUP(CS13,CQ38:CR42,2,TRUE),IF(AND(CO15=1,CQ14&lt;=49),VLOOKUP(CS13,CQ44:CR48,2,TRUE),IF(AND(CO15=1,CQ14&lt;=59),VLOOKUP(CS13,CQ50:CR54,2,TRUE),IF(AND(CO15=1,CQ14&lt;=69),VLOOKUP(CS13,CQ57:CR61,2,TRUE),"-"))))))))))))</f>
        <v>-</v>
      </c>
      <c r="CS18" s="121"/>
      <c r="CT18" s="52"/>
      <c r="CU18" s="54"/>
      <c r="CV18" s="114"/>
      <c r="CW18" s="114"/>
      <c r="CX18" s="50"/>
      <c r="CY18" s="124" t="s">
        <v>139</v>
      </c>
      <c r="CZ18" s="124"/>
      <c r="DC18" s="121" t="str">
        <f>IF(AND(CZ15=0,DB14&lt;=19),VLOOKUP(DD13,CY19:CZ23,2,TRUE),IF(AND(CZ15=0,DB14&lt;=29),VLOOKUP(DD13,CY26:CZ30,2,TRUE),IF(AND(CZ15=0,DB14&lt;=39),VLOOKUP(DD13,CY32:CZ36,2,TRUE),IF(AND(CZ15=0,DB14&lt;=49),VLOOKUP(DD13,CY38:CZ42,2,TRUE),IF(AND(CZ15=0,DB14&lt;=59),VLOOKUP(DD13,CY44:CZ48,2,TRUE),IF(AND(CZ15=0,DB14&lt;=69),VLOOKUP(DD13,CY51:CZ55,2,TRUE),IF(AND(CZ15=1,DB14&lt;=19),VLOOKUP(DD13,DB25:DC28,2,TRUE),IF(AND(CZ15=1,DB14&lt;=29),VLOOKUP(DD13,DB32:DC36,2,TRUE),IF(AND(CZ15=1,DB14&lt;=39),VLOOKUP(DD13,DB38:DC42,2,TRUE),IF(AND(CZ15=1,DB14&lt;=49),VLOOKUP(DD13,DB44:DC48,2,TRUE),IF(AND(CZ15=1,DB14&lt;=59),VLOOKUP(DD13,DB50:DC54,2,TRUE),IF(AND(CZ15=1,DB14&lt;=69),VLOOKUP(DD13,DB57:DC61,2,TRUE),"-"))))))))))))</f>
        <v>-</v>
      </c>
      <c r="DD18" s="121"/>
      <c r="DE18" s="52"/>
      <c r="DH18" s="124" t="s">
        <v>195</v>
      </c>
      <c r="DI18" s="124"/>
      <c r="DK18" s="125" t="s">
        <v>195</v>
      </c>
      <c r="DL18" s="125"/>
      <c r="DT18" s="426" t="s">
        <v>21</v>
      </c>
      <c r="DU18" s="426"/>
      <c r="DV18" s="31">
        <f>'Avaliação Física 3'!J78</f>
        <v>0</v>
      </c>
      <c r="EH18" s="7">
        <v>16.100000000000001</v>
      </c>
      <c r="EI18" s="7" t="s">
        <v>29</v>
      </c>
    </row>
    <row r="19" spans="2:144" ht="15.75" thickBot="1" x14ac:dyDescent="0.25">
      <c r="B19" s="227"/>
      <c r="C19" s="238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76"/>
      <c r="P19" s="277"/>
      <c r="Q19" s="227"/>
      <c r="AH19" s="126" t="s">
        <v>56</v>
      </c>
      <c r="AI19" s="126"/>
      <c r="AJ19" s="31">
        <f>'Avaliação Física 3'!J87</f>
        <v>0</v>
      </c>
      <c r="AL19" s="31">
        <f>'Avaliação Física 3'!L87</f>
        <v>0</v>
      </c>
      <c r="AN19" s="126" t="s">
        <v>91</v>
      </c>
      <c r="AO19" s="138"/>
      <c r="AP19" s="31"/>
      <c r="AQ19" s="131" t="s">
        <v>94</v>
      </c>
      <c r="AR19" s="126"/>
      <c r="AU19" s="33">
        <v>0.01</v>
      </c>
      <c r="AV19" s="34" t="s">
        <v>126</v>
      </c>
      <c r="BC19" s="134"/>
      <c r="BD19" s="85"/>
      <c r="BE19" s="33">
        <v>0.01</v>
      </c>
      <c r="BF19" s="34" t="s">
        <v>126</v>
      </c>
      <c r="BK19" s="54"/>
      <c r="BL19" s="114"/>
      <c r="BM19" s="114"/>
      <c r="BN19" s="50"/>
      <c r="BO19" s="58">
        <v>1</v>
      </c>
      <c r="BP19" s="34" t="s">
        <v>144</v>
      </c>
      <c r="BU19" s="52"/>
      <c r="BZ19" s="126"/>
      <c r="CA19" s="126"/>
      <c r="CM19" s="50"/>
      <c r="CN19" s="67">
        <v>0</v>
      </c>
      <c r="CO19" s="34" t="s">
        <v>144</v>
      </c>
      <c r="CT19" s="52"/>
      <c r="CU19" s="54"/>
      <c r="CV19" s="114"/>
      <c r="CW19" s="114"/>
      <c r="CX19" s="50"/>
      <c r="CY19" s="67">
        <v>0</v>
      </c>
      <c r="CZ19" s="34" t="s">
        <v>144</v>
      </c>
      <c r="DE19" s="52"/>
      <c r="DH19" s="67">
        <v>0</v>
      </c>
      <c r="DI19" s="34" t="s">
        <v>196</v>
      </c>
      <c r="DK19" s="63">
        <v>0</v>
      </c>
      <c r="DL19" s="37" t="s">
        <v>196</v>
      </c>
      <c r="DT19" s="426" t="s">
        <v>43</v>
      </c>
      <c r="DU19" s="426"/>
      <c r="DV19" s="31">
        <f>'Avaliação Física 3'!J79</f>
        <v>0</v>
      </c>
      <c r="EH19" s="7">
        <v>17</v>
      </c>
      <c r="EI19" s="7" t="s">
        <v>30</v>
      </c>
    </row>
    <row r="20" spans="2:144" ht="15" x14ac:dyDescent="0.2">
      <c r="B20" s="227"/>
      <c r="C20" s="240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21"/>
      <c r="P20" s="278"/>
      <c r="Q20" s="227"/>
      <c r="AU20" s="34">
        <v>0.71</v>
      </c>
      <c r="AV20" s="34" t="s">
        <v>127</v>
      </c>
      <c r="BC20" s="134"/>
      <c r="BD20" s="85"/>
      <c r="BE20" s="34">
        <v>0.71</v>
      </c>
      <c r="BF20" s="34" t="s">
        <v>127</v>
      </c>
      <c r="BK20" s="54"/>
      <c r="BL20" s="114"/>
      <c r="BM20" s="114"/>
      <c r="BN20" s="50"/>
      <c r="BO20" s="58">
        <v>12</v>
      </c>
      <c r="BP20" s="34" t="s">
        <v>143</v>
      </c>
      <c r="BU20" s="52"/>
      <c r="BZ20" s="126" t="s">
        <v>149</v>
      </c>
      <c r="CA20" s="126"/>
      <c r="CB20" s="126"/>
      <c r="CC20" s="126"/>
      <c r="CD20" s="113">
        <f>'Avaliação Física 3'!L272</f>
        <v>0</v>
      </c>
      <c r="CF20" s="126" t="s">
        <v>150</v>
      </c>
      <c r="CG20" s="126"/>
      <c r="CH20" s="44" t="str">
        <f>IF(CD20="","-",CR18)</f>
        <v>-</v>
      </c>
      <c r="CI20" s="21"/>
      <c r="CM20" s="50"/>
      <c r="CN20" s="67">
        <v>27</v>
      </c>
      <c r="CO20" s="34" t="s">
        <v>143</v>
      </c>
      <c r="CT20" s="52"/>
      <c r="CU20" s="54"/>
      <c r="CV20" s="114"/>
      <c r="CW20" s="114"/>
      <c r="CX20" s="50"/>
      <c r="CY20" s="67">
        <v>12</v>
      </c>
      <c r="CZ20" s="34" t="s">
        <v>143</v>
      </c>
      <c r="DE20" s="52"/>
      <c r="DH20" s="67">
        <v>24</v>
      </c>
      <c r="DI20" s="34" t="s">
        <v>144</v>
      </c>
      <c r="DK20" s="63">
        <v>25</v>
      </c>
      <c r="DL20" s="37" t="s">
        <v>144</v>
      </c>
      <c r="DT20" s="426" t="s">
        <v>22</v>
      </c>
      <c r="DU20" s="426"/>
      <c r="DV20" s="31">
        <f>'Avaliação Física 3'!N77</f>
        <v>0</v>
      </c>
      <c r="EH20" s="7">
        <v>18.5</v>
      </c>
      <c r="EI20" s="7" t="s">
        <v>31</v>
      </c>
      <c r="EL20" s="17" t="s">
        <v>42</v>
      </c>
    </row>
    <row r="21" spans="2:144" ht="6" customHeight="1" thickBot="1" x14ac:dyDescent="0.25">
      <c r="B21" s="227"/>
      <c r="C21" s="241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79"/>
      <c r="P21" s="280"/>
      <c r="Q21" s="227"/>
      <c r="AH21" s="135" t="s">
        <v>60</v>
      </c>
      <c r="AI21" s="135"/>
      <c r="AJ21" s="135"/>
      <c r="AK21" s="135"/>
      <c r="AL21" s="135"/>
      <c r="AU21" s="34">
        <v>0.78</v>
      </c>
      <c r="AV21" s="34" t="s">
        <v>128</v>
      </c>
      <c r="BC21" s="134"/>
      <c r="BD21" s="85"/>
      <c r="BE21" s="34">
        <v>0.78</v>
      </c>
      <c r="BF21" s="34" t="s">
        <v>128</v>
      </c>
      <c r="BK21" s="54"/>
      <c r="BL21" s="114"/>
      <c r="BM21" s="114"/>
      <c r="BN21" s="50"/>
      <c r="BO21" s="58">
        <v>18</v>
      </c>
      <c r="BP21" s="34" t="s">
        <v>142</v>
      </c>
      <c r="BU21" s="52"/>
      <c r="CM21" s="50"/>
      <c r="CN21" s="67">
        <v>32</v>
      </c>
      <c r="CO21" s="34" t="s">
        <v>142</v>
      </c>
      <c r="CT21" s="52"/>
      <c r="CU21" s="54"/>
      <c r="CV21" s="114"/>
      <c r="CW21" s="114"/>
      <c r="CX21" s="50"/>
      <c r="CY21" s="67">
        <v>18</v>
      </c>
      <c r="CZ21" s="34" t="s">
        <v>142</v>
      </c>
      <c r="DE21" s="52"/>
      <c r="DH21" s="67">
        <v>31</v>
      </c>
      <c r="DI21" s="34" t="s">
        <v>143</v>
      </c>
      <c r="DK21" s="63">
        <v>34</v>
      </c>
      <c r="DL21" s="37" t="s">
        <v>143</v>
      </c>
      <c r="DT21" s="426" t="s">
        <v>23</v>
      </c>
      <c r="DU21" s="426"/>
      <c r="DV21" s="31">
        <f>'Avaliação Física 3'!N78</f>
        <v>0</v>
      </c>
      <c r="EH21" s="7">
        <v>24.5</v>
      </c>
      <c r="EI21" s="7" t="s">
        <v>32</v>
      </c>
      <c r="EL21" s="18" t="e">
        <f>IF(EJ4=0,SUM(1.097-(0.00046971*(DV23))+(0.00000056*(DV23*DV23))-(0.00012828*(DV9))),SUM(1.112-(0.00043499*(DV23))+(0.00000055*(DV23*DV23))-(0.00028826*(DV9))))</f>
        <v>#VALUE!</v>
      </c>
    </row>
    <row r="22" spans="2:144" ht="5.45" customHeight="1" x14ac:dyDescent="0.2">
      <c r="B22" s="227"/>
      <c r="Q22" s="227"/>
      <c r="AH22" s="314"/>
      <c r="AI22" s="314"/>
      <c r="AJ22" s="314" t="s">
        <v>57</v>
      </c>
      <c r="AK22" s="314"/>
      <c r="AL22" s="314" t="s">
        <v>58</v>
      </c>
      <c r="AU22" s="34">
        <v>0.83</v>
      </c>
      <c r="AV22" s="34" t="s">
        <v>129</v>
      </c>
      <c r="BC22" s="50"/>
      <c r="BE22" s="34">
        <v>0.83</v>
      </c>
      <c r="BF22" s="34" t="s">
        <v>129</v>
      </c>
      <c r="BK22" s="54"/>
      <c r="BL22" s="114"/>
      <c r="BM22" s="114"/>
      <c r="BN22" s="50"/>
      <c r="BO22" s="58">
        <v>25</v>
      </c>
      <c r="BP22" s="34" t="s">
        <v>140</v>
      </c>
      <c r="BU22" s="52"/>
      <c r="BZ22" s="310"/>
      <c r="CA22" s="310"/>
      <c r="CF22" s="126"/>
      <c r="CG22" s="126"/>
      <c r="CH22" s="126"/>
      <c r="CI22" s="126"/>
      <c r="CM22" s="50"/>
      <c r="CN22" s="67">
        <v>36</v>
      </c>
      <c r="CO22" s="34" t="s">
        <v>140</v>
      </c>
      <c r="CT22" s="52"/>
      <c r="CU22" s="54"/>
      <c r="CV22" s="114"/>
      <c r="CW22" s="114"/>
      <c r="CX22" s="50"/>
      <c r="CY22" s="67">
        <v>25</v>
      </c>
      <c r="CZ22" s="34" t="s">
        <v>140</v>
      </c>
      <c r="DE22" s="52"/>
      <c r="DH22" s="67">
        <v>38</v>
      </c>
      <c r="DI22" s="34" t="s">
        <v>140</v>
      </c>
      <c r="DK22" s="63">
        <v>45</v>
      </c>
      <c r="DL22" s="37" t="s">
        <v>140</v>
      </c>
      <c r="EH22" s="7">
        <v>30</v>
      </c>
      <c r="EI22" s="7" t="s">
        <v>33</v>
      </c>
    </row>
    <row r="23" spans="2:144" ht="15" customHeight="1" thickBot="1" x14ac:dyDescent="0.25">
      <c r="B23" s="227"/>
      <c r="C23" s="362" t="s">
        <v>225</v>
      </c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227"/>
      <c r="AH23" s="136" t="s">
        <v>224</v>
      </c>
      <c r="AI23" s="137"/>
      <c r="AJ23" s="31"/>
      <c r="AL23" s="31"/>
      <c r="AU23" s="35"/>
      <c r="AV23" s="35"/>
      <c r="AX23" s="123" t="s">
        <v>135</v>
      </c>
      <c r="AY23" s="123"/>
      <c r="AZ23" s="21"/>
      <c r="BC23" s="134"/>
      <c r="BD23" s="85"/>
      <c r="BE23" s="35"/>
      <c r="BF23" s="35"/>
      <c r="BH23" s="123" t="s">
        <v>135</v>
      </c>
      <c r="BI23" s="123"/>
      <c r="BJ23" s="21"/>
      <c r="BK23" s="54"/>
      <c r="BL23" s="114"/>
      <c r="BM23" s="114"/>
      <c r="BN23" s="50"/>
      <c r="BO23" s="35">
        <v>33</v>
      </c>
      <c r="BP23" s="35" t="s">
        <v>141</v>
      </c>
      <c r="BR23" s="123" t="s">
        <v>135</v>
      </c>
      <c r="BS23" s="123"/>
      <c r="BT23" s="21"/>
      <c r="BU23" s="52"/>
      <c r="CM23" s="50"/>
      <c r="CN23" s="66">
        <v>42</v>
      </c>
      <c r="CO23" s="35" t="s">
        <v>141</v>
      </c>
      <c r="CQ23" s="123" t="s">
        <v>135</v>
      </c>
      <c r="CR23" s="123"/>
      <c r="CS23" s="21"/>
      <c r="CT23" s="52"/>
      <c r="CU23" s="54"/>
      <c r="CV23" s="114"/>
      <c r="CW23" s="114"/>
      <c r="CX23" s="50"/>
      <c r="CY23" s="66">
        <v>33</v>
      </c>
      <c r="CZ23" s="35" t="s">
        <v>141</v>
      </c>
      <c r="DB23" s="123" t="s">
        <v>135</v>
      </c>
      <c r="DC23" s="123"/>
      <c r="DD23" s="21"/>
      <c r="DE23" s="52"/>
      <c r="DH23" s="66">
        <v>49</v>
      </c>
      <c r="DI23" s="35" t="s">
        <v>141</v>
      </c>
      <c r="DK23" s="64">
        <v>53</v>
      </c>
      <c r="DL23" s="38" t="s">
        <v>141</v>
      </c>
      <c r="DT23" s="426" t="s">
        <v>24</v>
      </c>
      <c r="DU23" s="426"/>
      <c r="DV23" s="8">
        <f>IF(DV15="","-",SUM(DV15:DV21))</f>
        <v>0</v>
      </c>
      <c r="EH23" s="7">
        <v>35</v>
      </c>
      <c r="EI23" s="7" t="s">
        <v>34</v>
      </c>
    </row>
    <row r="24" spans="2:144" ht="14.45" customHeight="1" x14ac:dyDescent="0.2">
      <c r="C24" s="23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  <c r="AH24" s="139"/>
      <c r="AI24" s="140"/>
      <c r="AJ24" s="31"/>
      <c r="AL24" s="31"/>
      <c r="AU24" s="35"/>
      <c r="AV24" s="35"/>
      <c r="AX24" s="125" t="s">
        <v>64</v>
      </c>
      <c r="AY24" s="125"/>
      <c r="BC24" s="134"/>
      <c r="BD24" s="85"/>
      <c r="BE24" s="35"/>
      <c r="BF24" s="35"/>
      <c r="BH24" s="125" t="s">
        <v>64</v>
      </c>
      <c r="BI24" s="125"/>
      <c r="BK24" s="54"/>
      <c r="BL24" s="114"/>
      <c r="BM24" s="114"/>
      <c r="BN24" s="50"/>
      <c r="BO24" s="35"/>
      <c r="BP24" s="35"/>
      <c r="BR24" s="125" t="s">
        <v>147</v>
      </c>
      <c r="BS24" s="125"/>
      <c r="BU24" s="52"/>
      <c r="CM24" s="50"/>
      <c r="CN24" s="35"/>
      <c r="CO24" s="35"/>
      <c r="CQ24" s="125" t="s">
        <v>147</v>
      </c>
      <c r="CR24" s="125"/>
      <c r="CT24" s="52"/>
      <c r="CU24" s="54"/>
      <c r="CV24" s="114"/>
      <c r="CW24" s="114"/>
      <c r="CX24" s="50"/>
      <c r="CY24" s="35"/>
      <c r="CZ24" s="35"/>
      <c r="DB24" s="125" t="s">
        <v>147</v>
      </c>
      <c r="DC24" s="125"/>
      <c r="DE24" s="52"/>
      <c r="DH24" s="35"/>
      <c r="DI24" s="35"/>
      <c r="DK24" s="38"/>
      <c r="DL24" s="38"/>
      <c r="EH24" s="7"/>
      <c r="EI24" s="7"/>
      <c r="EL24" s="13"/>
    </row>
    <row r="25" spans="2:144" ht="14.45" customHeight="1" x14ac:dyDescent="0.2">
      <c r="C25" s="240"/>
      <c r="D25" s="221" t="s">
        <v>247</v>
      </c>
      <c r="E25" s="221"/>
      <c r="F25" s="221"/>
      <c r="G25" s="221"/>
      <c r="H25" s="221"/>
      <c r="I25" s="221"/>
      <c r="J25" s="460"/>
      <c r="K25" s="460"/>
      <c r="L25" s="460"/>
      <c r="M25" s="460"/>
      <c r="N25" s="460"/>
      <c r="O25" s="221"/>
      <c r="P25" s="278"/>
      <c r="AH25" s="139"/>
      <c r="AI25" s="140"/>
      <c r="AJ25" s="31"/>
      <c r="AL25" s="31"/>
      <c r="AU25" s="124" t="s">
        <v>65</v>
      </c>
      <c r="AV25" s="124"/>
      <c r="AX25" s="40">
        <v>0.01</v>
      </c>
      <c r="AY25" s="37" t="s">
        <v>126</v>
      </c>
      <c r="BC25" s="134"/>
      <c r="BD25" s="85"/>
      <c r="BE25" s="124" t="s">
        <v>65</v>
      </c>
      <c r="BF25" s="124"/>
      <c r="BH25" s="40">
        <v>0.01</v>
      </c>
      <c r="BI25" s="37" t="s">
        <v>126</v>
      </c>
      <c r="BK25" s="54"/>
      <c r="BL25" s="114"/>
      <c r="BM25" s="114"/>
      <c r="BN25" s="50"/>
      <c r="BO25" s="124" t="s">
        <v>145</v>
      </c>
      <c r="BP25" s="124"/>
      <c r="BR25" s="63">
        <v>1</v>
      </c>
      <c r="BS25" s="37" t="s">
        <v>144</v>
      </c>
      <c r="BU25" s="52"/>
      <c r="BZ25" s="126" t="s">
        <v>41</v>
      </c>
      <c r="CA25" s="126"/>
      <c r="CB25" s="144">
        <f>CB17</f>
        <v>0</v>
      </c>
      <c r="CC25" s="145"/>
      <c r="CD25" s="126" t="s">
        <v>148</v>
      </c>
      <c r="CE25" s="126"/>
      <c r="CF25" s="144" t="str">
        <f>CF17</f>
        <v>-</v>
      </c>
      <c r="CG25" s="145"/>
      <c r="CH25" s="131" t="s">
        <v>197</v>
      </c>
      <c r="CI25" s="138"/>
      <c r="CJ25" s="10">
        <f>'Avaliação Física 3'!DV11</f>
        <v>0</v>
      </c>
      <c r="CM25" s="50"/>
      <c r="CN25" s="124" t="s">
        <v>145</v>
      </c>
      <c r="CO25" s="124"/>
      <c r="CQ25" s="63">
        <v>0</v>
      </c>
      <c r="CR25" s="37" t="s">
        <v>144</v>
      </c>
      <c r="CT25" s="52"/>
      <c r="CU25" s="54"/>
      <c r="CV25" s="114"/>
      <c r="CW25" s="114"/>
      <c r="CX25" s="50"/>
      <c r="CY25" s="124" t="s">
        <v>145</v>
      </c>
      <c r="CZ25" s="124"/>
      <c r="DB25" s="63">
        <v>0</v>
      </c>
      <c r="DC25" s="37" t="s">
        <v>144</v>
      </c>
      <c r="DE25" s="52"/>
      <c r="DH25" s="124" t="s">
        <v>65</v>
      </c>
      <c r="DI25" s="124"/>
      <c r="DK25" s="125" t="s">
        <v>65</v>
      </c>
      <c r="DL25" s="125"/>
      <c r="DU25" s="135"/>
      <c r="DV25" s="135" t="s">
        <v>25</v>
      </c>
      <c r="EH25" s="7">
        <v>40</v>
      </c>
      <c r="EI25" s="7" t="s">
        <v>35</v>
      </c>
      <c r="EL25" s="16" t="s">
        <v>47</v>
      </c>
    </row>
    <row r="26" spans="2:144" ht="14.45" customHeight="1" x14ac:dyDescent="0.2">
      <c r="C26" s="240"/>
      <c r="D26" s="221" t="s">
        <v>248</v>
      </c>
      <c r="E26" s="221"/>
      <c r="F26" s="221"/>
      <c r="G26" s="221"/>
      <c r="H26" s="221"/>
      <c r="I26" s="221"/>
      <c r="J26" s="460"/>
      <c r="K26" s="460"/>
      <c r="L26" s="460"/>
      <c r="M26" s="460"/>
      <c r="N26" s="460"/>
      <c r="O26" s="221"/>
      <c r="P26" s="278"/>
      <c r="AH26" s="139"/>
      <c r="AI26" s="140"/>
      <c r="AJ26" s="31"/>
      <c r="AL26" s="31"/>
      <c r="AO26" s="132"/>
      <c r="AP26" s="132"/>
      <c r="AU26" s="36">
        <v>0.01</v>
      </c>
      <c r="AV26" s="34" t="s">
        <v>126</v>
      </c>
      <c r="AX26" s="110">
        <v>0.83</v>
      </c>
      <c r="AY26" s="37" t="s">
        <v>127</v>
      </c>
      <c r="BC26" s="134"/>
      <c r="BD26" s="85"/>
      <c r="BE26" s="36">
        <v>0.01</v>
      </c>
      <c r="BF26" s="34" t="s">
        <v>126</v>
      </c>
      <c r="BH26" s="110">
        <v>0.83</v>
      </c>
      <c r="BI26" s="37" t="s">
        <v>127</v>
      </c>
      <c r="BK26" s="54"/>
      <c r="BL26" s="114"/>
      <c r="BM26" s="114"/>
      <c r="BN26" s="50"/>
      <c r="BO26" s="59">
        <v>1</v>
      </c>
      <c r="BP26" s="34" t="s">
        <v>144</v>
      </c>
      <c r="BR26" s="63">
        <v>18</v>
      </c>
      <c r="BS26" s="37" t="s">
        <v>143</v>
      </c>
      <c r="BU26" s="52"/>
      <c r="CF26" s="126"/>
      <c r="CG26" s="126"/>
      <c r="CM26" s="50"/>
      <c r="CN26" s="59">
        <v>0</v>
      </c>
      <c r="CO26" s="34" t="s">
        <v>144</v>
      </c>
      <c r="CQ26" s="63">
        <v>33</v>
      </c>
      <c r="CR26" s="37" t="s">
        <v>143</v>
      </c>
      <c r="CT26" s="52"/>
      <c r="CU26" s="54"/>
      <c r="CV26" s="114"/>
      <c r="CW26" s="114"/>
      <c r="CX26" s="50"/>
      <c r="CY26" s="59">
        <v>0</v>
      </c>
      <c r="CZ26" s="34" t="s">
        <v>144</v>
      </c>
      <c r="DB26" s="63">
        <v>18</v>
      </c>
      <c r="DC26" s="37" t="s">
        <v>143</v>
      </c>
      <c r="DE26" s="52"/>
      <c r="DH26" s="59">
        <v>0</v>
      </c>
      <c r="DI26" s="34" t="s">
        <v>196</v>
      </c>
      <c r="DK26" s="65">
        <v>0</v>
      </c>
      <c r="DL26" s="37" t="s">
        <v>196</v>
      </c>
      <c r="DT26" s="477" t="s">
        <v>120</v>
      </c>
      <c r="DU26" s="489"/>
      <c r="DV26" s="28" t="str">
        <f>IF(DV11=0,"-",(EL26))</f>
        <v>-</v>
      </c>
      <c r="EL26" s="19" t="e">
        <f>((4.95/EL21)-4.5)*100</f>
        <v>#VALUE!</v>
      </c>
    </row>
    <row r="27" spans="2:144" ht="15" customHeight="1" thickBot="1" x14ac:dyDescent="0.25">
      <c r="C27" s="240"/>
      <c r="D27" s="221" t="s">
        <v>249</v>
      </c>
      <c r="E27" s="221"/>
      <c r="F27" s="221"/>
      <c r="G27" s="221"/>
      <c r="H27" s="221"/>
      <c r="I27" s="221"/>
      <c r="J27" s="460"/>
      <c r="K27" s="460"/>
      <c r="L27" s="460"/>
      <c r="M27" s="460"/>
      <c r="N27" s="460"/>
      <c r="O27" s="221"/>
      <c r="P27" s="278"/>
      <c r="AU27" s="36">
        <v>0.72</v>
      </c>
      <c r="AV27" s="34" t="s">
        <v>127</v>
      </c>
      <c r="AX27" s="110">
        <v>0.89</v>
      </c>
      <c r="AY27" s="37" t="s">
        <v>128</v>
      </c>
      <c r="BC27" s="134"/>
      <c r="BD27" s="85"/>
      <c r="BE27" s="36">
        <v>0.72</v>
      </c>
      <c r="BF27" s="34" t="s">
        <v>127</v>
      </c>
      <c r="BH27" s="110">
        <v>0.89</v>
      </c>
      <c r="BI27" s="37" t="s">
        <v>128</v>
      </c>
      <c r="BK27" s="54"/>
      <c r="BL27" s="114"/>
      <c r="BM27" s="114"/>
      <c r="BN27" s="50"/>
      <c r="BO27" s="59">
        <v>10</v>
      </c>
      <c r="BP27" s="34" t="s">
        <v>143</v>
      </c>
      <c r="BR27" s="63">
        <v>23</v>
      </c>
      <c r="BS27" s="37" t="s">
        <v>142</v>
      </c>
      <c r="BU27" s="52"/>
      <c r="CA27" s="126" t="s">
        <v>199</v>
      </c>
      <c r="CB27" s="126"/>
      <c r="CC27" s="126"/>
      <c r="CF27" t="s">
        <v>200</v>
      </c>
      <c r="CM27" s="50"/>
      <c r="CN27" s="59">
        <v>21</v>
      </c>
      <c r="CO27" s="34" t="s">
        <v>143</v>
      </c>
      <c r="CQ27" s="63">
        <v>38</v>
      </c>
      <c r="CR27" s="37" t="s">
        <v>142</v>
      </c>
      <c r="CT27" s="52"/>
      <c r="CU27" s="54"/>
      <c r="CV27" s="114"/>
      <c r="CW27" s="114"/>
      <c r="CX27" s="50"/>
      <c r="CY27" s="59">
        <v>10</v>
      </c>
      <c r="CZ27" s="34" t="s">
        <v>143</v>
      </c>
      <c r="DB27" s="63">
        <v>23</v>
      </c>
      <c r="DC27" s="37" t="s">
        <v>142</v>
      </c>
      <c r="DE27" s="52"/>
      <c r="DH27" s="59">
        <v>20</v>
      </c>
      <c r="DI27" s="34" t="s">
        <v>144</v>
      </c>
      <c r="DK27" s="65">
        <v>23</v>
      </c>
      <c r="DL27" s="37" t="s">
        <v>144</v>
      </c>
      <c r="DT27" s="477" t="s">
        <v>121</v>
      </c>
      <c r="DU27" s="489"/>
      <c r="DV27" s="9" t="str">
        <f>IF(DV11=0,"-",(DV11-DV28))</f>
        <v>-</v>
      </c>
      <c r="EL27" s="15"/>
    </row>
    <row r="28" spans="2:144" ht="14.45" customHeight="1" x14ac:dyDescent="0.2">
      <c r="C28" s="240"/>
      <c r="D28" s="221" t="s">
        <v>250</v>
      </c>
      <c r="E28" s="221"/>
      <c r="F28" s="221"/>
      <c r="G28" s="221"/>
      <c r="H28" s="221"/>
      <c r="I28" s="221"/>
      <c r="J28" s="460"/>
      <c r="K28" s="460"/>
      <c r="L28" s="460"/>
      <c r="M28" s="460"/>
      <c r="N28" s="460"/>
      <c r="O28" s="221"/>
      <c r="P28" s="278"/>
      <c r="AU28" s="36">
        <v>0.79</v>
      </c>
      <c r="AV28" s="34" t="s">
        <v>128</v>
      </c>
      <c r="AX28" s="110">
        <v>0.95</v>
      </c>
      <c r="AY28" s="37" t="s">
        <v>129</v>
      </c>
      <c r="BC28" s="50"/>
      <c r="BE28" s="36">
        <v>0.01</v>
      </c>
      <c r="BF28" s="34" t="s">
        <v>126</v>
      </c>
      <c r="BH28" s="39">
        <v>0.01</v>
      </c>
      <c r="BI28" s="37" t="s">
        <v>126</v>
      </c>
      <c r="BK28" s="52"/>
      <c r="BN28" s="50"/>
      <c r="BO28" s="59">
        <v>1</v>
      </c>
      <c r="BP28" s="34" t="s">
        <v>144</v>
      </c>
      <c r="BR28" s="65">
        <v>1</v>
      </c>
      <c r="BS28" s="37" t="s">
        <v>144</v>
      </c>
      <c r="BU28" s="52"/>
      <c r="CB28" s="151" t="e">
        <f>'Avaliação Física 3'!D290:E290</f>
        <v>#VALUE!</v>
      </c>
      <c r="CC28" s="152"/>
      <c r="CF28" s="155" t="e">
        <f>((CB28/1000)*60)/12</f>
        <v>#VALUE!</v>
      </c>
      <c r="CG28" s="156"/>
      <c r="CJ28" s="87" t="e">
        <f>CF28</f>
        <v>#VALUE!</v>
      </c>
      <c r="CL28" s="6"/>
      <c r="CM28" s="50"/>
      <c r="CN28" s="59">
        <v>25</v>
      </c>
      <c r="CO28" s="34" t="s">
        <v>142</v>
      </c>
      <c r="CQ28" s="63">
        <v>42</v>
      </c>
      <c r="CR28" s="37" t="s">
        <v>140</v>
      </c>
      <c r="CT28" s="52"/>
      <c r="CU28" s="52"/>
      <c r="CX28" s="50"/>
      <c r="CY28" s="59">
        <v>15</v>
      </c>
      <c r="CZ28" s="34" t="s">
        <v>142</v>
      </c>
      <c r="DB28" s="63">
        <v>29</v>
      </c>
      <c r="DC28" s="37" t="s">
        <v>140</v>
      </c>
      <c r="DE28" s="52"/>
      <c r="DH28" s="59">
        <v>28</v>
      </c>
      <c r="DI28" s="34" t="s">
        <v>143</v>
      </c>
      <c r="DK28" s="70">
        <v>31</v>
      </c>
      <c r="DL28" s="37" t="s">
        <v>143</v>
      </c>
      <c r="DT28" s="477" t="s">
        <v>122</v>
      </c>
      <c r="DU28" s="489"/>
      <c r="DV28" s="9" t="str">
        <f>IF(DV11=0,"-",(DV11-EI28))</f>
        <v>-</v>
      </c>
      <c r="EI28" s="29" t="e">
        <f>DV11*DV26%</f>
        <v>#VALUE!</v>
      </c>
    </row>
    <row r="29" spans="2:144" ht="14.45" customHeight="1" x14ac:dyDescent="0.2">
      <c r="C29" s="240"/>
      <c r="D29" s="221" t="s">
        <v>98</v>
      </c>
      <c r="E29" s="221"/>
      <c r="F29" s="221"/>
      <c r="G29" s="221"/>
      <c r="H29" s="221"/>
      <c r="I29" s="221"/>
      <c r="J29" s="460"/>
      <c r="K29" s="460"/>
      <c r="L29" s="460"/>
      <c r="M29" s="460"/>
      <c r="N29" s="460"/>
      <c r="O29" s="221"/>
      <c r="P29" s="278"/>
      <c r="AU29" s="36">
        <v>0.85</v>
      </c>
      <c r="AV29" s="34" t="s">
        <v>129</v>
      </c>
      <c r="AX29" s="38"/>
      <c r="AY29" s="38"/>
      <c r="BC29" s="50"/>
      <c r="BE29" s="36">
        <v>0.76</v>
      </c>
      <c r="BF29" s="34" t="s">
        <v>127</v>
      </c>
      <c r="BH29" s="41">
        <v>0.9</v>
      </c>
      <c r="BI29" s="37" t="s">
        <v>127</v>
      </c>
      <c r="BK29" s="52"/>
      <c r="BN29" s="50"/>
      <c r="BO29" s="59">
        <v>2</v>
      </c>
      <c r="BP29" s="34" t="s">
        <v>143</v>
      </c>
      <c r="BR29" s="65">
        <v>10</v>
      </c>
      <c r="BS29" s="37" t="s">
        <v>143</v>
      </c>
      <c r="BU29" s="52"/>
      <c r="CJ29" s="88" t="e">
        <f>CB28</f>
        <v>#VALUE!</v>
      </c>
      <c r="CM29" s="50"/>
      <c r="CN29" s="59">
        <v>31</v>
      </c>
      <c r="CO29" s="34" t="s">
        <v>140</v>
      </c>
      <c r="CQ29" s="64">
        <v>48</v>
      </c>
      <c r="CR29" s="38" t="s">
        <v>141</v>
      </c>
      <c r="CT29" s="52"/>
      <c r="CU29" s="52"/>
      <c r="CX29" s="50"/>
      <c r="CY29" s="59">
        <v>21</v>
      </c>
      <c r="CZ29" s="34" t="s">
        <v>140</v>
      </c>
      <c r="DB29" s="64">
        <v>39</v>
      </c>
      <c r="DC29" s="38" t="s">
        <v>141</v>
      </c>
      <c r="DE29" s="52"/>
      <c r="DH29" s="59">
        <v>38</v>
      </c>
      <c r="DI29" s="34" t="s">
        <v>140</v>
      </c>
      <c r="DK29" s="70">
        <v>39</v>
      </c>
      <c r="DL29" s="37" t="s">
        <v>140</v>
      </c>
    </row>
    <row r="30" spans="2:144" ht="14.45" customHeight="1" x14ac:dyDescent="0.2">
      <c r="C30" s="240"/>
      <c r="D30" s="221" t="s">
        <v>251</v>
      </c>
      <c r="E30" s="221"/>
      <c r="F30" s="221"/>
      <c r="G30" s="221"/>
      <c r="H30" s="221"/>
      <c r="I30" s="221"/>
      <c r="J30" s="460"/>
      <c r="K30" s="460"/>
      <c r="L30" s="460"/>
      <c r="M30" s="460"/>
      <c r="N30" s="460"/>
      <c r="O30" s="221"/>
      <c r="P30" s="278"/>
      <c r="AG30" s="141" t="s">
        <v>151</v>
      </c>
      <c r="AH30" s="141"/>
      <c r="AI30" s="141"/>
      <c r="AJ30" s="83">
        <f>'Avaliação Física 3'!G94</f>
        <v>0</v>
      </c>
      <c r="AO30" s="142" t="e">
        <f>IF(AND(BF49&gt;BF47,BF47&gt;BF48),"ECTOMORFO-ENDOMORFO","")</f>
        <v>#DIV/0!</v>
      </c>
      <c r="AP30" s="142"/>
      <c r="AQ30" s="142"/>
      <c r="AR30" s="142"/>
      <c r="AU30" s="35"/>
      <c r="AV30" s="35"/>
      <c r="AX30" s="38"/>
      <c r="AY30" s="38"/>
      <c r="BC30" s="50"/>
      <c r="BE30" s="36">
        <v>0.84</v>
      </c>
      <c r="BF30" s="34" t="s">
        <v>128</v>
      </c>
      <c r="BH30" s="39">
        <v>0.97</v>
      </c>
      <c r="BI30" s="37" t="s">
        <v>128</v>
      </c>
      <c r="BK30" s="52"/>
      <c r="BN30" s="50"/>
      <c r="BO30" s="59">
        <v>7</v>
      </c>
      <c r="BP30" s="34" t="s">
        <v>142</v>
      </c>
      <c r="BR30" s="65">
        <v>13</v>
      </c>
      <c r="BS30" s="37" t="s">
        <v>142</v>
      </c>
      <c r="BU30" s="52"/>
      <c r="CA30" s="126" t="s">
        <v>198</v>
      </c>
      <c r="CB30" s="126"/>
      <c r="CC30" s="126"/>
      <c r="CD30" s="126"/>
      <c r="CF30" s="126" t="s">
        <v>150</v>
      </c>
      <c r="CG30" s="126"/>
      <c r="CJ30" s="89">
        <f>CB31</f>
        <v>-11.2</v>
      </c>
      <c r="CM30" s="50"/>
      <c r="CN30" s="60">
        <v>36</v>
      </c>
      <c r="CO30" s="35" t="s">
        <v>141</v>
      </c>
      <c r="CQ30" s="38"/>
      <c r="CR30" s="38"/>
      <c r="CT30" s="52"/>
      <c r="CU30" s="52"/>
      <c r="CX30" s="50"/>
      <c r="CY30" s="60">
        <v>30</v>
      </c>
      <c r="CZ30" s="35" t="s">
        <v>141</v>
      </c>
      <c r="DB30" s="38"/>
      <c r="DC30" s="38"/>
      <c r="DE30" s="52"/>
      <c r="DH30" s="60">
        <v>45</v>
      </c>
      <c r="DI30" s="35" t="s">
        <v>141</v>
      </c>
      <c r="DK30" s="64">
        <v>49</v>
      </c>
      <c r="DL30" s="38" t="s">
        <v>141</v>
      </c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</row>
    <row r="31" spans="2:144" ht="14.45" customHeight="1" x14ac:dyDescent="0.2">
      <c r="C31" s="240"/>
      <c r="D31" s="221" t="s">
        <v>99</v>
      </c>
      <c r="E31" s="221"/>
      <c r="F31" s="221"/>
      <c r="G31" s="221"/>
      <c r="H31" s="221"/>
      <c r="I31" s="221"/>
      <c r="J31" s="460"/>
      <c r="K31" s="460"/>
      <c r="L31" s="460"/>
      <c r="M31" s="460"/>
      <c r="N31" s="460"/>
      <c r="O31" s="221"/>
      <c r="P31" s="278"/>
      <c r="AH31" s="141" t="s">
        <v>152</v>
      </c>
      <c r="AI31" s="141"/>
      <c r="AJ31" s="31">
        <f>'Avaliação Física 3'!K94</f>
        <v>0</v>
      </c>
      <c r="AO31" s="142" t="e">
        <f>IF(AND(BF47&gt;BF49,BF49&gt;BF48),"ENDOMORFO-ECTOMORFO","")</f>
        <v>#DIV/0!</v>
      </c>
      <c r="AP31" s="142"/>
      <c r="AQ31" s="142"/>
      <c r="AR31" s="142"/>
      <c r="AU31" s="124" t="s">
        <v>130</v>
      </c>
      <c r="AV31" s="124"/>
      <c r="AX31" s="125" t="s">
        <v>65</v>
      </c>
      <c r="AY31" s="125"/>
      <c r="BC31" s="50"/>
      <c r="BE31" s="36">
        <v>0.91</v>
      </c>
      <c r="BF31" s="34" t="s">
        <v>129</v>
      </c>
      <c r="BH31" s="39">
        <v>1.03</v>
      </c>
      <c r="BI31" s="37" t="s">
        <v>129</v>
      </c>
      <c r="BK31" s="52"/>
      <c r="BN31" s="50"/>
      <c r="BO31" s="59">
        <v>11</v>
      </c>
      <c r="BP31" s="34" t="s">
        <v>140</v>
      </c>
      <c r="BR31" s="65">
        <v>17</v>
      </c>
      <c r="BS31" s="37" t="s">
        <v>140</v>
      </c>
      <c r="BU31" s="52"/>
      <c r="CB31" s="157">
        <f>('Avaliação Física 3'!D290-504)/45</f>
        <v>-11.2</v>
      </c>
      <c r="CC31" s="158"/>
      <c r="CD31" s="159"/>
      <c r="CF31" s="153" t="e">
        <f>IF(CB28="","-",DN12)</f>
        <v>#VALUE!</v>
      </c>
      <c r="CG31" s="154"/>
      <c r="CJ31" s="90" t="e">
        <f>CF31</f>
        <v>#VALUE!</v>
      </c>
      <c r="CM31" s="50"/>
      <c r="CN31" s="146" t="s">
        <v>146</v>
      </c>
      <c r="CO31" s="147"/>
      <c r="CQ31" s="125" t="s">
        <v>64</v>
      </c>
      <c r="CR31" s="125"/>
      <c r="CT31" s="52"/>
      <c r="CU31" s="52"/>
      <c r="CX31" s="50"/>
      <c r="CY31" s="146" t="s">
        <v>146</v>
      </c>
      <c r="CZ31" s="147"/>
      <c r="DB31" s="125" t="s">
        <v>64</v>
      </c>
      <c r="DC31" s="125"/>
      <c r="DE31" s="52"/>
      <c r="DH31" s="146" t="s">
        <v>194</v>
      </c>
      <c r="DI31" s="147"/>
      <c r="DK31" s="149" t="s">
        <v>194</v>
      </c>
      <c r="DL31" s="150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I31" s="426" t="s">
        <v>118</v>
      </c>
      <c r="EJ31" s="426"/>
      <c r="EK31" s="8">
        <f>DV11</f>
        <v>0</v>
      </c>
    </row>
    <row r="32" spans="2:144" ht="14.45" customHeight="1" x14ac:dyDescent="0.2">
      <c r="C32" s="240"/>
      <c r="D32" s="221" t="s">
        <v>100</v>
      </c>
      <c r="E32" s="221"/>
      <c r="F32" s="221"/>
      <c r="G32" s="221"/>
      <c r="H32" s="221"/>
      <c r="I32" s="221"/>
      <c r="J32" s="460"/>
      <c r="K32" s="460"/>
      <c r="L32" s="460"/>
      <c r="M32" s="460"/>
      <c r="N32" s="460"/>
      <c r="O32" s="221"/>
      <c r="P32" s="278"/>
      <c r="AH32" s="141" t="s">
        <v>153</v>
      </c>
      <c r="AI32" s="141"/>
      <c r="AJ32" s="84">
        <f>'Avaliação Física 3'!G95</f>
        <v>0</v>
      </c>
      <c r="AN32" s="314" t="s">
        <v>188</v>
      </c>
      <c r="AO32" s="142" t="e">
        <f>IF(AND(BF47=BF48,BF49&gt;BF48),"ECTOMORFO","")</f>
        <v>#DIV/0!</v>
      </c>
      <c r="AP32" s="142"/>
      <c r="AQ32" s="142"/>
      <c r="AR32" s="142"/>
      <c r="AU32" s="36">
        <v>0.01</v>
      </c>
      <c r="AV32" s="34" t="s">
        <v>126</v>
      </c>
      <c r="AX32" s="39">
        <v>0.01</v>
      </c>
      <c r="AY32" s="37" t="s">
        <v>126</v>
      </c>
      <c r="BC32" s="50"/>
      <c r="BH32" s="38"/>
      <c r="BI32" s="38"/>
      <c r="BK32" s="52"/>
      <c r="BN32" s="50"/>
      <c r="BO32" s="60">
        <v>21</v>
      </c>
      <c r="BP32" s="35" t="s">
        <v>141</v>
      </c>
      <c r="BR32" s="64">
        <v>22</v>
      </c>
      <c r="BS32" s="38" t="s">
        <v>141</v>
      </c>
      <c r="BU32" s="52"/>
      <c r="CM32" s="50"/>
      <c r="CN32" s="59">
        <v>0</v>
      </c>
      <c r="CO32" s="34" t="s">
        <v>144</v>
      </c>
      <c r="CQ32" s="65">
        <v>0</v>
      </c>
      <c r="CR32" s="37" t="s">
        <v>144</v>
      </c>
      <c r="CT32" s="52"/>
      <c r="CU32" s="52"/>
      <c r="CX32" s="50"/>
      <c r="CY32" s="59">
        <v>0</v>
      </c>
      <c r="CZ32" s="34" t="s">
        <v>144</v>
      </c>
      <c r="DB32" s="65">
        <v>0</v>
      </c>
      <c r="DC32" s="37" t="s">
        <v>144</v>
      </c>
      <c r="DE32" s="52"/>
      <c r="DH32" s="59">
        <v>0</v>
      </c>
      <c r="DI32" s="34" t="s">
        <v>196</v>
      </c>
      <c r="DK32" s="65">
        <v>0</v>
      </c>
      <c r="DL32" s="37" t="s">
        <v>196</v>
      </c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I32" s="426" t="s">
        <v>122</v>
      </c>
      <c r="EJ32" s="483"/>
      <c r="EK32" s="9" t="str">
        <f>DV28</f>
        <v>-</v>
      </c>
    </row>
    <row r="33" spans="3:141" ht="14.45" customHeight="1" x14ac:dyDescent="0.2">
      <c r="C33" s="240"/>
      <c r="D33" s="221" t="s">
        <v>101</v>
      </c>
      <c r="E33" s="221"/>
      <c r="F33" s="221"/>
      <c r="G33" s="221"/>
      <c r="H33" s="221"/>
      <c r="I33" s="221"/>
      <c r="J33" s="460"/>
      <c r="K33" s="460"/>
      <c r="L33" s="460"/>
      <c r="M33" s="460"/>
      <c r="N33" s="460"/>
      <c r="O33" s="221"/>
      <c r="P33" s="278"/>
      <c r="AO33" s="142" t="e">
        <f>IF(AND(BF48&gt;BF49,BF49&gt;BF47),"MESOMORFO-ECTOMÓRFICO","")</f>
        <v>#DIV/0!</v>
      </c>
      <c r="AP33" s="142"/>
      <c r="AQ33" s="142"/>
      <c r="AR33" s="142"/>
      <c r="AU33" s="36">
        <v>0.73</v>
      </c>
      <c r="AV33" s="34" t="s">
        <v>127</v>
      </c>
      <c r="AX33" s="39">
        <v>0.84</v>
      </c>
      <c r="AY33" s="37" t="s">
        <v>127</v>
      </c>
      <c r="BC33" s="50"/>
      <c r="BH33" s="125" t="s">
        <v>66</v>
      </c>
      <c r="BI33" s="125"/>
      <c r="BK33" s="52"/>
      <c r="BN33" s="50"/>
      <c r="BR33" s="125" t="s">
        <v>131</v>
      </c>
      <c r="BS33" s="125"/>
      <c r="BU33" s="52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M33" s="50"/>
      <c r="CN33" s="59">
        <v>15</v>
      </c>
      <c r="CO33" s="34" t="s">
        <v>143</v>
      </c>
      <c r="CQ33" s="65">
        <v>29</v>
      </c>
      <c r="CR33" s="37" t="s">
        <v>143</v>
      </c>
      <c r="CT33" s="52"/>
      <c r="CU33" s="52"/>
      <c r="CX33" s="50"/>
      <c r="CY33" s="59">
        <v>8</v>
      </c>
      <c r="CZ33" s="34" t="s">
        <v>143</v>
      </c>
      <c r="DB33" s="65">
        <v>17</v>
      </c>
      <c r="DC33" s="37" t="s">
        <v>143</v>
      </c>
      <c r="DE33" s="52"/>
      <c r="DH33" s="59">
        <v>17</v>
      </c>
      <c r="DI33" s="34" t="s">
        <v>144</v>
      </c>
      <c r="DK33" s="65">
        <v>20</v>
      </c>
      <c r="DL33" s="37" t="s">
        <v>144</v>
      </c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I33" s="310"/>
      <c r="EJ33" s="315"/>
      <c r="EK33" s="9"/>
    </row>
    <row r="34" spans="3:141" ht="14.45" customHeight="1" x14ac:dyDescent="0.2">
      <c r="C34" s="240"/>
      <c r="D34" s="221" t="s">
        <v>102</v>
      </c>
      <c r="E34" s="221"/>
      <c r="F34" s="221"/>
      <c r="G34" s="221"/>
      <c r="H34" s="221"/>
      <c r="I34" s="221"/>
      <c r="J34" s="460"/>
      <c r="K34" s="460"/>
      <c r="L34" s="460"/>
      <c r="M34" s="460"/>
      <c r="N34" s="460"/>
      <c r="O34" s="221"/>
      <c r="P34" s="278"/>
      <c r="Y34" s="163" t="s">
        <v>267</v>
      </c>
      <c r="Z34" s="3"/>
      <c r="AA34" s="3"/>
      <c r="AB34" s="164"/>
      <c r="AO34" s="142" t="e">
        <f>IF(AND(BF49&gt;BF48,BF48&gt;BF47),"ECTOMORFO-MESOMORFO","")</f>
        <v>#DIV/0!</v>
      </c>
      <c r="AP34" s="142"/>
      <c r="AQ34" s="142"/>
      <c r="AR34" s="142"/>
      <c r="AU34" s="36">
        <v>0.8</v>
      </c>
      <c r="AV34" s="34" t="s">
        <v>128</v>
      </c>
      <c r="AX34" s="39">
        <v>0.92</v>
      </c>
      <c r="AY34" s="37" t="s">
        <v>128</v>
      </c>
      <c r="BC34" s="50"/>
      <c r="BH34" s="41">
        <v>0.01</v>
      </c>
      <c r="BI34" s="37" t="s">
        <v>126</v>
      </c>
      <c r="BK34" s="52"/>
      <c r="BN34" s="50"/>
      <c r="BO34" s="124" t="s">
        <v>66</v>
      </c>
      <c r="BP34" s="124"/>
      <c r="BR34" s="65">
        <v>1</v>
      </c>
      <c r="BS34" s="37" t="s">
        <v>144</v>
      </c>
      <c r="BU34" s="52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M34" s="50"/>
      <c r="CN34" s="69">
        <v>20</v>
      </c>
      <c r="CO34" s="35" t="s">
        <v>142</v>
      </c>
      <c r="CQ34" s="70">
        <v>33</v>
      </c>
      <c r="CR34" s="38" t="s">
        <v>142</v>
      </c>
      <c r="CT34" s="52"/>
      <c r="CU34" s="52"/>
      <c r="CX34" s="50"/>
      <c r="CY34" s="69">
        <v>13</v>
      </c>
      <c r="CZ34" s="35" t="s">
        <v>142</v>
      </c>
      <c r="DB34" s="70">
        <v>22</v>
      </c>
      <c r="DC34" s="38" t="s">
        <v>142</v>
      </c>
      <c r="DE34" s="52"/>
      <c r="DH34" s="69">
        <v>24</v>
      </c>
      <c r="DI34" s="34" t="s">
        <v>143</v>
      </c>
      <c r="DK34" s="65">
        <v>27</v>
      </c>
      <c r="DL34" s="37" t="s">
        <v>143</v>
      </c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I34" s="310"/>
      <c r="EJ34" s="315"/>
      <c r="EK34" s="9"/>
    </row>
    <row r="35" spans="3:141" ht="14.45" customHeight="1" x14ac:dyDescent="0.2">
      <c r="C35" s="240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78"/>
      <c r="Y35" s="2">
        <f>F78+J79+N77</f>
        <v>0</v>
      </c>
      <c r="Z35" s="106"/>
      <c r="AA35" s="106"/>
      <c r="AB35" s="165"/>
      <c r="AO35" s="142" t="e">
        <f>IF(AND(BF48&gt;BF47,BF48=BF49),"MESOECTOMORFO","")</f>
        <v>#DIV/0!</v>
      </c>
      <c r="AP35" s="142"/>
      <c r="AQ35" s="142"/>
      <c r="AR35" s="142"/>
      <c r="AU35" s="36">
        <v>0.88</v>
      </c>
      <c r="AV35" s="34" t="s">
        <v>129</v>
      </c>
      <c r="AX35" s="39">
        <v>0.96</v>
      </c>
      <c r="AY35" s="37" t="s">
        <v>129</v>
      </c>
      <c r="BC35" s="50"/>
      <c r="BH35" s="41"/>
      <c r="BI35" s="37"/>
      <c r="BK35" s="52"/>
      <c r="BN35" s="50"/>
      <c r="BO35" s="66"/>
      <c r="BP35" s="112"/>
      <c r="BR35" s="65"/>
      <c r="BS35" s="37"/>
      <c r="BU35" s="52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M35" s="50"/>
      <c r="CN35" s="69">
        <v>24</v>
      </c>
      <c r="CO35" s="35" t="s">
        <v>140</v>
      </c>
      <c r="CQ35" s="70">
        <v>37</v>
      </c>
      <c r="CR35" s="38" t="s">
        <v>140</v>
      </c>
      <c r="CT35" s="52"/>
      <c r="CU35" s="52"/>
      <c r="CX35" s="50"/>
      <c r="CY35" s="69">
        <v>20</v>
      </c>
      <c r="CZ35" s="35" t="s">
        <v>140</v>
      </c>
      <c r="DB35" s="70">
        <v>19</v>
      </c>
      <c r="DC35" s="38" t="s">
        <v>140</v>
      </c>
      <c r="DE35" s="52"/>
      <c r="DH35" s="69">
        <v>31</v>
      </c>
      <c r="DI35" s="34" t="s">
        <v>140</v>
      </c>
      <c r="DK35" s="65">
        <v>36</v>
      </c>
      <c r="DL35" s="37" t="s">
        <v>140</v>
      </c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I35" s="310"/>
      <c r="EJ35" s="315"/>
      <c r="EK35" s="9"/>
    </row>
    <row r="36" spans="3:141" ht="14.45" customHeight="1" x14ac:dyDescent="0.2">
      <c r="C36" s="240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78"/>
      <c r="Y36" s="2"/>
      <c r="Z36" s="106"/>
      <c r="AA36" s="106"/>
      <c r="AB36" s="165"/>
      <c r="AO36" s="142" t="e">
        <f>IF(AND(BF48&gt;BF47,BF47&gt;BF49),"MESOMORFO-ENDOMÓRFICO","")</f>
        <v>#DIV/0!</v>
      </c>
      <c r="AP36" s="142"/>
      <c r="AQ36" s="142"/>
      <c r="AR36" s="142"/>
      <c r="AU36" s="35"/>
      <c r="AV36" s="35"/>
      <c r="AX36" s="38"/>
      <c r="AY36" s="38"/>
      <c r="BC36" s="50"/>
      <c r="BH36" s="41"/>
      <c r="BI36" s="37"/>
      <c r="BK36" s="52"/>
      <c r="BN36" s="50"/>
      <c r="BO36" s="66"/>
      <c r="BP36" s="112"/>
      <c r="BR36" s="65"/>
      <c r="BS36" s="37"/>
      <c r="BU36" s="52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M36" s="50"/>
      <c r="CN36" s="60">
        <v>29</v>
      </c>
      <c r="CO36" s="35" t="s">
        <v>141</v>
      </c>
      <c r="CQ36" s="64">
        <v>43</v>
      </c>
      <c r="CR36" s="38" t="s">
        <v>141</v>
      </c>
      <c r="CT36" s="52"/>
      <c r="CU36" s="52"/>
      <c r="CX36" s="50"/>
      <c r="CY36" s="60">
        <v>27</v>
      </c>
      <c r="CZ36" s="35" t="s">
        <v>141</v>
      </c>
      <c r="DB36" s="64">
        <v>36</v>
      </c>
      <c r="DC36" s="38" t="s">
        <v>141</v>
      </c>
      <c r="DE36" s="52"/>
      <c r="DH36" s="60">
        <v>42</v>
      </c>
      <c r="DI36" s="35" t="s">
        <v>141</v>
      </c>
      <c r="DK36" s="64">
        <v>45</v>
      </c>
      <c r="DL36" s="38" t="s">
        <v>141</v>
      </c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I36" s="426" t="s">
        <v>121</v>
      </c>
      <c r="EJ36" s="483"/>
      <c r="EK36" s="9" t="str">
        <f>DV27</f>
        <v>-</v>
      </c>
    </row>
    <row r="37" spans="3:141" ht="15" x14ac:dyDescent="0.2">
      <c r="C37" s="240"/>
      <c r="D37" s="221" t="s">
        <v>245</v>
      </c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78"/>
      <c r="Y37" s="2" t="s">
        <v>268</v>
      </c>
      <c r="Z37" s="106"/>
      <c r="AA37" s="106"/>
      <c r="AB37" s="165"/>
      <c r="AN37" s="314" t="s">
        <v>189</v>
      </c>
      <c r="AO37" s="142" t="e">
        <f>IF(AND(BF48&gt;BF47,BF47=BF49),"MESOMORFO","")</f>
        <v>#DIV/0!</v>
      </c>
      <c r="AP37" s="142"/>
      <c r="AQ37" s="142"/>
      <c r="AR37" s="142"/>
      <c r="AU37" s="124" t="s">
        <v>131</v>
      </c>
      <c r="AV37" s="124"/>
      <c r="AX37" s="125" t="s">
        <v>130</v>
      </c>
      <c r="AY37" s="125"/>
      <c r="BC37" s="50"/>
      <c r="BH37" s="41"/>
      <c r="BI37" s="37"/>
      <c r="BK37" s="52"/>
      <c r="BN37" s="50"/>
      <c r="BO37" s="66"/>
      <c r="BP37" s="112"/>
      <c r="BR37" s="65"/>
      <c r="BS37" s="37"/>
      <c r="BU37" s="52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M37" s="50"/>
      <c r="CN37" s="124" t="s">
        <v>130</v>
      </c>
      <c r="CO37" s="124"/>
      <c r="CQ37" s="125" t="s">
        <v>65</v>
      </c>
      <c r="CR37" s="125"/>
      <c r="CT37" s="52"/>
      <c r="CU37" s="52"/>
      <c r="CX37" s="50"/>
      <c r="CY37" s="124" t="s">
        <v>130</v>
      </c>
      <c r="CZ37" s="124"/>
      <c r="DB37" s="125" t="s">
        <v>65</v>
      </c>
      <c r="DC37" s="125"/>
      <c r="DE37" s="52"/>
      <c r="DH37" s="124" t="s">
        <v>131</v>
      </c>
      <c r="DI37" s="124"/>
      <c r="DK37" s="125" t="s">
        <v>131</v>
      </c>
      <c r="DL37" s="125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I37" s="310"/>
      <c r="EJ37" s="315"/>
      <c r="EK37" s="9"/>
    </row>
    <row r="38" spans="3:141" ht="15" x14ac:dyDescent="0.2">
      <c r="C38" s="240"/>
      <c r="D38" s="377" t="s">
        <v>255</v>
      </c>
      <c r="E38" s="377"/>
      <c r="F38" s="460"/>
      <c r="G38" s="460"/>
      <c r="H38" s="460"/>
      <c r="I38" s="460"/>
      <c r="J38" s="460"/>
      <c r="K38" s="460"/>
      <c r="L38" s="460"/>
      <c r="M38" s="460"/>
      <c r="N38" s="460"/>
      <c r="O38" s="221"/>
      <c r="P38" s="278"/>
      <c r="Y38" s="166">
        <f>N78+J79+F77</f>
        <v>0</v>
      </c>
      <c r="Z38" s="1"/>
      <c r="AA38" s="1"/>
      <c r="AB38" s="168"/>
      <c r="AO38" s="142" t="e">
        <f>IF(AND(BF47=BF48,BF48&gt;BF49),"MESOENDOMORFO","")</f>
        <v>#DIV/0!</v>
      </c>
      <c r="AP38" s="142"/>
      <c r="AQ38" s="142"/>
      <c r="AR38" s="142"/>
      <c r="AU38" s="36">
        <v>0.01</v>
      </c>
      <c r="AV38" s="34" t="s">
        <v>126</v>
      </c>
      <c r="AX38" s="39">
        <v>0.01</v>
      </c>
      <c r="AY38" s="37" t="s">
        <v>126</v>
      </c>
      <c r="BC38" s="50"/>
      <c r="BH38" s="39">
        <v>0.91</v>
      </c>
      <c r="BI38" s="37" t="s">
        <v>127</v>
      </c>
      <c r="BK38" s="52"/>
      <c r="BN38" s="50"/>
      <c r="BO38" s="60">
        <v>1</v>
      </c>
      <c r="BP38" s="34" t="s">
        <v>144</v>
      </c>
      <c r="BR38" s="65">
        <v>7</v>
      </c>
      <c r="BS38" s="37" t="s">
        <v>143</v>
      </c>
      <c r="BU38" s="52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M38" s="50"/>
      <c r="CN38" s="59">
        <v>0</v>
      </c>
      <c r="CO38" s="34" t="s">
        <v>144</v>
      </c>
      <c r="CQ38" s="65">
        <v>0</v>
      </c>
      <c r="CR38" s="37" t="s">
        <v>144</v>
      </c>
      <c r="CT38" s="52"/>
      <c r="CU38" s="52"/>
      <c r="CX38" s="50"/>
      <c r="CY38" s="59">
        <v>0</v>
      </c>
      <c r="CZ38" s="34" t="s">
        <v>144</v>
      </c>
      <c r="DB38" s="65">
        <v>0</v>
      </c>
      <c r="DC38" s="37" t="s">
        <v>144</v>
      </c>
      <c r="DE38" s="52"/>
      <c r="DH38" s="59">
        <v>0</v>
      </c>
      <c r="DI38" s="34" t="s">
        <v>196</v>
      </c>
      <c r="DK38" s="65">
        <v>0</v>
      </c>
      <c r="DL38" s="37" t="s">
        <v>196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I38" s="310"/>
      <c r="EJ38" s="315"/>
      <c r="EK38" s="9"/>
    </row>
    <row r="39" spans="3:141" ht="15" x14ac:dyDescent="0.2">
      <c r="C39" s="240"/>
      <c r="D39" s="377" t="s">
        <v>13</v>
      </c>
      <c r="E39" s="377"/>
      <c r="F39" s="460"/>
      <c r="G39" s="460"/>
      <c r="H39" s="460"/>
      <c r="I39" s="460"/>
      <c r="J39" s="460"/>
      <c r="K39" s="460"/>
      <c r="L39" s="460"/>
      <c r="M39" s="460"/>
      <c r="N39" s="460"/>
      <c r="O39" s="221"/>
      <c r="P39" s="278"/>
      <c r="Y39" s="106"/>
      <c r="Z39" s="106"/>
      <c r="AA39" s="106"/>
      <c r="AB39" s="106"/>
      <c r="AO39" s="143" t="e">
        <f>IF(AND(BF47&gt;BF48,BF48&gt;BF49),"ENDOMORFO-MESOMORFO","")</f>
        <v>#DIV/0!</v>
      </c>
      <c r="AP39" s="143"/>
      <c r="AQ39" s="143"/>
      <c r="AR39" s="143"/>
      <c r="AU39" s="36">
        <v>0.74</v>
      </c>
      <c r="AV39" s="34" t="s">
        <v>127</v>
      </c>
      <c r="AX39" s="39">
        <v>0.88</v>
      </c>
      <c r="AY39" s="37" t="s">
        <v>127</v>
      </c>
      <c r="BC39" s="50"/>
      <c r="BH39" s="39">
        <v>0.99</v>
      </c>
      <c r="BI39" s="37" t="s">
        <v>128</v>
      </c>
      <c r="BK39" s="52"/>
      <c r="BN39" s="50"/>
      <c r="BO39" s="60">
        <v>1</v>
      </c>
      <c r="BP39" s="34" t="s">
        <v>143</v>
      </c>
      <c r="BR39" s="65">
        <v>10</v>
      </c>
      <c r="BS39" s="37" t="s">
        <v>142</v>
      </c>
      <c r="BU39" s="52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M39" s="50"/>
      <c r="CN39" s="59">
        <v>7</v>
      </c>
      <c r="CO39" s="34" t="s">
        <v>143</v>
      </c>
      <c r="CQ39" s="65">
        <v>22</v>
      </c>
      <c r="CR39" s="37" t="s">
        <v>143</v>
      </c>
      <c r="CT39" s="52"/>
      <c r="CU39" s="52"/>
      <c r="CX39" s="50"/>
      <c r="CY39" s="59">
        <v>5</v>
      </c>
      <c r="CZ39" s="34" t="s">
        <v>143</v>
      </c>
      <c r="DB39" s="65">
        <v>12</v>
      </c>
      <c r="DC39" s="37" t="s">
        <v>143</v>
      </c>
      <c r="DE39" s="52"/>
      <c r="DH39" s="59">
        <v>15</v>
      </c>
      <c r="DI39" s="34" t="s">
        <v>144</v>
      </c>
      <c r="DK39" s="65">
        <v>18</v>
      </c>
      <c r="DL39" s="37" t="s">
        <v>144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I39" s="310"/>
      <c r="EJ39" s="315"/>
      <c r="EK39" s="9"/>
    </row>
    <row r="40" spans="3:141" ht="15" x14ac:dyDescent="0.2">
      <c r="C40" s="240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78"/>
      <c r="Y40" s="172" t="s">
        <v>270</v>
      </c>
      <c r="Z40" s="169"/>
      <c r="AA40" s="171"/>
      <c r="AB40" s="106"/>
      <c r="AO40" s="142" t="e">
        <f>IF(AND(BF47=BF49,BF47&gt;BF48),"ENDOECTOMORFO","")</f>
        <v>#DIV/0!</v>
      </c>
      <c r="AP40" s="142"/>
      <c r="AQ40" s="142"/>
      <c r="AR40" s="142"/>
      <c r="AU40" s="36">
        <v>0.82</v>
      </c>
      <c r="AV40" s="34" t="s">
        <v>128</v>
      </c>
      <c r="AX40" s="39">
        <v>0.96</v>
      </c>
      <c r="AY40" s="37" t="s">
        <v>128</v>
      </c>
      <c r="BC40" s="50"/>
      <c r="BH40" s="39">
        <v>1.04</v>
      </c>
      <c r="BI40" s="37" t="s">
        <v>129</v>
      </c>
      <c r="BK40" s="52"/>
      <c r="BN40" s="50"/>
      <c r="BO40" s="60">
        <v>5</v>
      </c>
      <c r="BP40" s="34" t="s">
        <v>142</v>
      </c>
      <c r="BR40" s="65">
        <v>13</v>
      </c>
      <c r="BS40" s="37" t="s">
        <v>140</v>
      </c>
      <c r="BU40" s="52"/>
      <c r="BY40" s="4"/>
      <c r="BZ40" s="148"/>
      <c r="CA40" s="148"/>
      <c r="CB40" s="68"/>
      <c r="CC40" s="68"/>
      <c r="CD40" s="115"/>
      <c r="CE40" s="115"/>
      <c r="CF40" s="115"/>
      <c r="CG40" s="115"/>
      <c r="CH40" s="115"/>
      <c r="CI40" s="115"/>
      <c r="CJ40" s="115"/>
      <c r="CK40" s="4"/>
      <c r="CM40" s="50"/>
      <c r="CN40" s="59">
        <v>15</v>
      </c>
      <c r="CO40" s="34" t="s">
        <v>142</v>
      </c>
      <c r="CQ40" s="65">
        <v>27</v>
      </c>
      <c r="CR40" s="37" t="s">
        <v>142</v>
      </c>
      <c r="CT40" s="52"/>
      <c r="CU40" s="52"/>
      <c r="CX40" s="50"/>
      <c r="CY40" s="59">
        <v>11</v>
      </c>
      <c r="CZ40" s="34" t="s">
        <v>142</v>
      </c>
      <c r="DB40" s="65">
        <v>17</v>
      </c>
      <c r="DC40" s="37" t="s">
        <v>142</v>
      </c>
      <c r="DE40" s="52"/>
      <c r="DH40" s="59">
        <v>21</v>
      </c>
      <c r="DI40" s="34" t="s">
        <v>143</v>
      </c>
      <c r="DK40" s="65">
        <v>25</v>
      </c>
      <c r="DL40" s="37" t="s">
        <v>143</v>
      </c>
      <c r="EI40" s="426" t="s">
        <v>120</v>
      </c>
      <c r="EJ40" s="483"/>
      <c r="EK40" s="28" t="str">
        <f>DV26</f>
        <v>-</v>
      </c>
    </row>
    <row r="41" spans="3:141" ht="15" x14ac:dyDescent="0.2">
      <c r="C41" s="240"/>
      <c r="D41" s="221" t="s">
        <v>246</v>
      </c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78"/>
      <c r="Y41" s="2" t="e">
        <f>IF(EJ4=0,SUM(1.1665-((LOG10(Y38))*0.07063)),SUM(1.17136-((LOG10(Y35))*0.06706)))</f>
        <v>#NUM!</v>
      </c>
      <c r="Z41" s="106"/>
      <c r="AA41" s="165"/>
      <c r="AN41" s="314" t="s">
        <v>190</v>
      </c>
      <c r="AO41" s="142" t="e">
        <f>IF(AND(BF47&gt;BF48,BF48=BF49),"ENDOMORFO","")</f>
        <v>#DIV/0!</v>
      </c>
      <c r="AP41" s="142"/>
      <c r="AQ41" s="142"/>
      <c r="AR41" s="142"/>
      <c r="AU41" s="36">
        <v>0.89</v>
      </c>
      <c r="AV41" s="34" t="s">
        <v>129</v>
      </c>
      <c r="AX41" s="41">
        <v>1.01</v>
      </c>
      <c r="AY41" s="37" t="s">
        <v>129</v>
      </c>
      <c r="BC41" s="50"/>
      <c r="BK41" s="52"/>
      <c r="BN41" s="50"/>
      <c r="BO41" s="60">
        <v>12</v>
      </c>
      <c r="BP41" s="34" t="s">
        <v>140</v>
      </c>
      <c r="BR41" s="64">
        <v>21</v>
      </c>
      <c r="BS41" s="38" t="s">
        <v>141</v>
      </c>
      <c r="BU41" s="52"/>
      <c r="BY41" s="4"/>
      <c r="BZ41" s="148"/>
      <c r="CA41" s="148"/>
      <c r="CB41" s="68"/>
      <c r="CC41" s="4"/>
      <c r="CD41" s="115"/>
      <c r="CE41" s="115"/>
      <c r="CF41" s="115"/>
      <c r="CG41" s="115"/>
      <c r="CH41" s="115"/>
      <c r="CI41" s="115"/>
      <c r="CJ41" s="115"/>
      <c r="CK41" s="4"/>
      <c r="CM41" s="50"/>
      <c r="CN41" s="59">
        <v>20</v>
      </c>
      <c r="CO41" s="34" t="s">
        <v>140</v>
      </c>
      <c r="CQ41" s="65">
        <v>31</v>
      </c>
      <c r="CR41" s="37" t="s">
        <v>140</v>
      </c>
      <c r="CT41" s="52"/>
      <c r="CU41" s="52"/>
      <c r="CX41" s="50"/>
      <c r="CY41" s="59">
        <v>15</v>
      </c>
      <c r="CZ41" s="34" t="s">
        <v>140</v>
      </c>
      <c r="DB41" s="65">
        <v>22</v>
      </c>
      <c r="DC41" s="37" t="s">
        <v>140</v>
      </c>
      <c r="DE41" s="52"/>
      <c r="DH41" s="59">
        <v>28</v>
      </c>
      <c r="DI41" s="34" t="s">
        <v>140</v>
      </c>
      <c r="DK41" s="65">
        <v>34</v>
      </c>
      <c r="DL41" s="37" t="s">
        <v>140</v>
      </c>
    </row>
    <row r="42" spans="3:141" ht="15" x14ac:dyDescent="0.2">
      <c r="C42" s="240"/>
      <c r="D42" s="377" t="s">
        <v>255</v>
      </c>
      <c r="E42" s="377"/>
      <c r="F42" s="460"/>
      <c r="G42" s="460"/>
      <c r="H42" s="460"/>
      <c r="I42" s="460"/>
      <c r="J42" s="460"/>
      <c r="K42" s="460"/>
      <c r="L42" s="460"/>
      <c r="M42" s="460"/>
      <c r="N42" s="460"/>
      <c r="O42" s="221"/>
      <c r="P42" s="278"/>
      <c r="Y42" s="173" t="s">
        <v>269</v>
      </c>
      <c r="Z42" s="170"/>
      <c r="AA42" s="165"/>
      <c r="AO42" s="143" t="e">
        <f>IF(AND(BF47=BF48,BF48=BF49),"CENTRAL","")</f>
        <v>#DIV/0!</v>
      </c>
      <c r="AP42" s="143"/>
      <c r="AQ42" s="143"/>
      <c r="AR42" s="143"/>
      <c r="AU42" s="35"/>
      <c r="AV42" s="35"/>
      <c r="AX42" s="38"/>
      <c r="AY42" s="38"/>
      <c r="BC42" s="55"/>
      <c r="BD42" s="56"/>
      <c r="BE42" s="56"/>
      <c r="BF42" s="56"/>
      <c r="BG42" s="56"/>
      <c r="BH42" s="56"/>
      <c r="BI42" s="56"/>
      <c r="BJ42" s="56"/>
      <c r="BK42" s="57"/>
      <c r="BN42" s="55"/>
      <c r="BO42" s="61">
        <v>17</v>
      </c>
      <c r="BP42" s="35" t="s">
        <v>141</v>
      </c>
      <c r="BQ42" s="56"/>
      <c r="BR42" s="62"/>
      <c r="BS42" s="62"/>
      <c r="BT42" s="56"/>
      <c r="BU42" s="57"/>
      <c r="BY42" s="4"/>
      <c r="BZ42" s="148"/>
      <c r="CA42" s="148"/>
      <c r="CB42" s="68"/>
      <c r="CC42" s="4"/>
      <c r="CD42" s="115"/>
      <c r="CE42" s="115"/>
      <c r="CF42" s="115"/>
      <c r="CG42" s="115"/>
      <c r="CH42" s="115"/>
      <c r="CI42" s="115"/>
      <c r="CJ42" s="115"/>
      <c r="CK42" s="4"/>
      <c r="CM42" s="50"/>
      <c r="CN42" s="60">
        <v>25</v>
      </c>
      <c r="CO42" s="35" t="s">
        <v>141</v>
      </c>
      <c r="CQ42" s="64">
        <v>36</v>
      </c>
      <c r="CR42" s="38" t="s">
        <v>141</v>
      </c>
      <c r="CT42" s="52"/>
      <c r="CU42" s="52"/>
      <c r="CX42" s="50"/>
      <c r="CY42" s="60">
        <v>24</v>
      </c>
      <c r="CZ42" s="35" t="s">
        <v>141</v>
      </c>
      <c r="DB42" s="64">
        <v>30</v>
      </c>
      <c r="DC42" s="38" t="s">
        <v>141</v>
      </c>
      <c r="DE42" s="52"/>
      <c r="DH42" s="60">
        <v>38</v>
      </c>
      <c r="DI42" s="35" t="s">
        <v>141</v>
      </c>
      <c r="DK42" s="64">
        <v>43</v>
      </c>
      <c r="DL42" s="38" t="s">
        <v>141</v>
      </c>
    </row>
    <row r="43" spans="3:141" ht="15" x14ac:dyDescent="0.2">
      <c r="C43" s="240"/>
      <c r="D43" s="377" t="s">
        <v>14</v>
      </c>
      <c r="E43" s="377"/>
      <c r="F43" s="460"/>
      <c r="G43" s="460"/>
      <c r="H43" s="460"/>
      <c r="I43" s="460"/>
      <c r="J43" s="460"/>
      <c r="K43" s="460"/>
      <c r="L43" s="460"/>
      <c r="M43" s="460"/>
      <c r="N43" s="460"/>
      <c r="O43" s="221"/>
      <c r="P43" s="278"/>
      <c r="Y43" s="174" t="e">
        <f>((4.95/Y41)-4.5)*100</f>
        <v>#NUM!</v>
      </c>
      <c r="Z43" s="1"/>
      <c r="AA43" s="168"/>
      <c r="AU43" s="124" t="s">
        <v>66</v>
      </c>
      <c r="AV43" s="124"/>
      <c r="AX43" s="125" t="s">
        <v>131</v>
      </c>
      <c r="AY43" s="125"/>
      <c r="BR43" s="125" t="s">
        <v>66</v>
      </c>
      <c r="BS43" s="125"/>
      <c r="BY43" s="4"/>
      <c r="BZ43" s="115"/>
      <c r="CA43" s="115"/>
      <c r="CB43" s="68"/>
      <c r="CC43" s="4"/>
      <c r="CD43" s="115"/>
      <c r="CE43" s="115"/>
      <c r="CF43" s="115"/>
      <c r="CG43" s="115"/>
      <c r="CH43" s="115"/>
      <c r="CI43" s="115"/>
      <c r="CJ43" s="115"/>
      <c r="CK43" s="4"/>
      <c r="CM43" s="50"/>
      <c r="CN43" s="124" t="s">
        <v>131</v>
      </c>
      <c r="CO43" s="124"/>
      <c r="CQ43" s="125" t="s">
        <v>130</v>
      </c>
      <c r="CR43" s="125"/>
      <c r="CT43" s="52"/>
      <c r="CU43" s="52"/>
      <c r="CX43" s="50"/>
      <c r="CY43" s="124" t="s">
        <v>131</v>
      </c>
      <c r="CZ43" s="124"/>
      <c r="DB43" s="125" t="s">
        <v>130</v>
      </c>
      <c r="DC43" s="125"/>
      <c r="DE43" s="52"/>
      <c r="DH43" s="124" t="s">
        <v>66</v>
      </c>
      <c r="DI43" s="124"/>
      <c r="DK43" s="125" t="s">
        <v>66</v>
      </c>
      <c r="DL43" s="125"/>
      <c r="EI43" s="426"/>
      <c r="EJ43" s="483"/>
      <c r="EK43" s="9"/>
    </row>
    <row r="44" spans="3:141" ht="15" x14ac:dyDescent="0.2">
      <c r="C44" s="240"/>
      <c r="D44" s="377" t="s">
        <v>13</v>
      </c>
      <c r="E44" s="377"/>
      <c r="F44" s="460"/>
      <c r="G44" s="460"/>
      <c r="H44" s="460"/>
      <c r="I44" s="460"/>
      <c r="J44" s="460"/>
      <c r="K44" s="460"/>
      <c r="L44" s="460"/>
      <c r="M44" s="460"/>
      <c r="N44" s="460"/>
      <c r="O44" s="221"/>
      <c r="P44" s="278"/>
      <c r="AU44" s="36">
        <v>0.01</v>
      </c>
      <c r="AV44" s="34" t="s">
        <v>126</v>
      </c>
      <c r="AX44" s="39">
        <v>0.01</v>
      </c>
      <c r="AY44" s="37" t="s">
        <v>126</v>
      </c>
      <c r="BR44" s="64">
        <v>1.01</v>
      </c>
      <c r="BS44" s="37" t="s">
        <v>144</v>
      </c>
      <c r="BY44" s="4"/>
      <c r="BZ44" s="115"/>
      <c r="CA44" s="115"/>
      <c r="CB44" s="68"/>
      <c r="CC44" s="4"/>
      <c r="CD44" s="115"/>
      <c r="CE44" s="115"/>
      <c r="CF44" s="115"/>
      <c r="CG44" s="115"/>
      <c r="CH44" s="115"/>
      <c r="CI44" s="115"/>
      <c r="CJ44" s="115"/>
      <c r="CK44" s="4"/>
      <c r="CM44" s="50"/>
      <c r="CN44" s="59">
        <v>0</v>
      </c>
      <c r="CO44" s="34" t="s">
        <v>144</v>
      </c>
      <c r="CQ44" s="65">
        <v>0</v>
      </c>
      <c r="CR44" s="37" t="s">
        <v>144</v>
      </c>
      <c r="CT44" s="52"/>
      <c r="CU44" s="52"/>
      <c r="CX44" s="50"/>
      <c r="CY44" s="59">
        <v>0</v>
      </c>
      <c r="CZ44" s="34" t="s">
        <v>144</v>
      </c>
      <c r="DB44" s="65">
        <v>0</v>
      </c>
      <c r="DC44" s="37" t="s">
        <v>144</v>
      </c>
      <c r="DE44" s="52"/>
      <c r="DH44" s="59">
        <v>0</v>
      </c>
      <c r="DI44" s="34" t="s">
        <v>196</v>
      </c>
      <c r="DK44" s="65">
        <v>0</v>
      </c>
      <c r="DL44" s="37" t="s">
        <v>196</v>
      </c>
    </row>
    <row r="45" spans="3:141" ht="15" x14ac:dyDescent="0.2">
      <c r="C45" s="241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  <c r="AU45" s="36">
        <v>0.76</v>
      </c>
      <c r="AV45" s="34" t="s">
        <v>127</v>
      </c>
      <c r="AX45" s="41">
        <v>0.9</v>
      </c>
      <c r="AY45" s="37" t="s">
        <v>127</v>
      </c>
      <c r="BE45" t="s">
        <v>158</v>
      </c>
      <c r="BH45" t="e">
        <f>('Avaliação Física 3'!DV15+'Avaliação Física 3'!DV16+'Avaliação Física 3'!DV19)*170.18/BH61</f>
        <v>#DIV/0!</v>
      </c>
      <c r="BR45" s="64">
        <v>5</v>
      </c>
      <c r="BS45" s="37" t="s">
        <v>143</v>
      </c>
      <c r="CM45" s="50"/>
      <c r="CN45" s="59">
        <v>3</v>
      </c>
      <c r="CO45" s="34" t="s">
        <v>143</v>
      </c>
      <c r="CQ45" s="65">
        <v>17</v>
      </c>
      <c r="CR45" s="37" t="s">
        <v>143</v>
      </c>
      <c r="CT45" s="52"/>
      <c r="CU45" s="52"/>
      <c r="CX45" s="50"/>
      <c r="CY45" s="59">
        <v>2</v>
      </c>
      <c r="CZ45" s="34" t="s">
        <v>143</v>
      </c>
      <c r="DB45" s="65">
        <v>10</v>
      </c>
      <c r="DC45" s="37" t="s">
        <v>143</v>
      </c>
      <c r="DE45" s="52"/>
      <c r="DH45" s="59">
        <v>13</v>
      </c>
      <c r="DI45" s="34" t="s">
        <v>144</v>
      </c>
      <c r="DK45" s="65">
        <v>16</v>
      </c>
      <c r="DL45" s="37" t="s">
        <v>144</v>
      </c>
    </row>
    <row r="46" spans="3:141" ht="15" x14ac:dyDescent="0.2"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U46" s="36">
        <v>0.84</v>
      </c>
      <c r="AV46" s="34" t="s">
        <v>128</v>
      </c>
      <c r="AX46" s="39">
        <v>0.97</v>
      </c>
      <c r="AY46" s="37" t="s">
        <v>128</v>
      </c>
      <c r="BD46" s="79"/>
      <c r="BE46" s="79" t="s">
        <v>187</v>
      </c>
      <c r="BF46" s="79"/>
      <c r="BR46" s="64">
        <v>8</v>
      </c>
      <c r="BS46" s="37" t="s">
        <v>142</v>
      </c>
      <c r="CM46" s="50"/>
      <c r="CN46" s="59">
        <v>5</v>
      </c>
      <c r="CO46" s="34" t="s">
        <v>142</v>
      </c>
      <c r="CQ46" s="65">
        <v>22</v>
      </c>
      <c r="CR46" s="37" t="s">
        <v>142</v>
      </c>
      <c r="CT46" s="52"/>
      <c r="CU46" s="52"/>
      <c r="CX46" s="50"/>
      <c r="CY46" s="59">
        <v>7</v>
      </c>
      <c r="CZ46" s="34" t="s">
        <v>142</v>
      </c>
      <c r="DB46" s="65">
        <v>13</v>
      </c>
      <c r="DC46" s="37" t="s">
        <v>142</v>
      </c>
      <c r="DE46" s="52"/>
      <c r="DH46" s="59">
        <v>18</v>
      </c>
      <c r="DI46" s="34" t="s">
        <v>143</v>
      </c>
      <c r="DK46" s="65">
        <v>23</v>
      </c>
      <c r="DL46" s="37" t="s">
        <v>143</v>
      </c>
    </row>
    <row r="47" spans="3:141" ht="15" x14ac:dyDescent="0.2">
      <c r="C47" s="362" t="s">
        <v>228</v>
      </c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T47">
        <f>J72*100</f>
        <v>0</v>
      </c>
      <c r="Y47" s="273" t="s">
        <v>386</v>
      </c>
      <c r="Z47" s="27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U47" s="36">
        <v>0.91</v>
      </c>
      <c r="AV47" s="34" t="s">
        <v>129</v>
      </c>
      <c r="AX47" s="39">
        <v>1.03</v>
      </c>
      <c r="AY47" s="37" t="s">
        <v>129</v>
      </c>
      <c r="BD47" s="121" t="s">
        <v>157</v>
      </c>
      <c r="BE47" s="121"/>
      <c r="BF47" s="80" t="e">
        <f>-0.7182+0.1451*(BH45)-0.00068*(BH45)+0.0000014*(BH45)</f>
        <v>#DIV/0!</v>
      </c>
      <c r="BR47" s="64">
        <v>11</v>
      </c>
      <c r="BS47" s="37" t="s">
        <v>140</v>
      </c>
      <c r="CM47" s="50"/>
      <c r="CN47" s="59">
        <v>12</v>
      </c>
      <c r="CO47" s="34" t="s">
        <v>140</v>
      </c>
      <c r="CQ47" s="65">
        <v>26</v>
      </c>
      <c r="CR47" s="37" t="s">
        <v>140</v>
      </c>
      <c r="CT47" s="52"/>
      <c r="CU47" s="52"/>
      <c r="CX47" s="50"/>
      <c r="CY47" s="59">
        <v>11</v>
      </c>
      <c r="CZ47" s="34" t="s">
        <v>140</v>
      </c>
      <c r="DB47" s="65">
        <v>17</v>
      </c>
      <c r="DC47" s="37" t="s">
        <v>140</v>
      </c>
      <c r="DE47" s="52"/>
      <c r="DH47" s="59">
        <v>24</v>
      </c>
      <c r="DI47" s="34" t="s">
        <v>140</v>
      </c>
      <c r="DK47" s="65">
        <v>31</v>
      </c>
      <c r="DL47" s="37" t="s">
        <v>140</v>
      </c>
    </row>
    <row r="48" spans="3:141" ht="15" x14ac:dyDescent="0.2">
      <c r="C48" s="284"/>
      <c r="D48" s="285"/>
      <c r="E48" s="285"/>
      <c r="F48" s="286"/>
      <c r="G48" s="276"/>
      <c r="H48" s="276"/>
      <c r="I48" s="276"/>
      <c r="J48" s="276"/>
      <c r="K48" s="276"/>
      <c r="L48" s="287"/>
      <c r="M48" s="288"/>
      <c r="N48" s="288"/>
      <c r="O48" s="289"/>
      <c r="P48" s="290"/>
      <c r="Y48" s="267" t="e">
        <f>IF(L9="Feminino",1.0346585-0.00063129*(J78+N78+J79+N79)+0.00000187*(J78+N78+J79+N79)^2-0.000311*(N9)-0.0004889*(F72)+0.00051345*(T47),1.10726863-0.00081201*(F77+F78+J79+N79)+0.00000212*(F77+F78+J79+N79)^2*0.00041761*(N9))</f>
        <v>#VALUE!</v>
      </c>
      <c r="Z48" s="268"/>
      <c r="AB48" s="5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X48" s="38"/>
      <c r="AY48" s="38"/>
      <c r="BD48" s="121" t="s">
        <v>156</v>
      </c>
      <c r="BE48" s="121"/>
      <c r="BF48" s="81">
        <f>0.858*(AJ30)+0.601*(AJ32)+0.188*(BK48)+0.161*(BK49)-0.131*(BH61)+4.5</f>
        <v>4.5</v>
      </c>
      <c r="BJ48" s="310" t="s">
        <v>159</v>
      </c>
      <c r="BK48">
        <f>BK50-(BK52/10)</f>
        <v>0</v>
      </c>
      <c r="BR48" s="64">
        <v>18</v>
      </c>
      <c r="BS48" s="38" t="s">
        <v>141</v>
      </c>
      <c r="CM48" s="50"/>
      <c r="CN48" s="60">
        <v>19</v>
      </c>
      <c r="CO48" s="35" t="s">
        <v>141</v>
      </c>
      <c r="CQ48" s="64">
        <v>36</v>
      </c>
      <c r="CR48" s="38" t="s">
        <v>141</v>
      </c>
      <c r="CT48" s="52"/>
      <c r="CU48" s="52"/>
      <c r="CX48" s="50"/>
      <c r="CY48" s="60">
        <v>21</v>
      </c>
      <c r="CZ48" s="35" t="s">
        <v>141</v>
      </c>
      <c r="DB48" s="64">
        <v>22</v>
      </c>
      <c r="DC48" s="38" t="s">
        <v>141</v>
      </c>
      <c r="DE48" s="52"/>
      <c r="DH48" s="60">
        <v>35</v>
      </c>
      <c r="DI48" s="35" t="s">
        <v>141</v>
      </c>
      <c r="DK48" s="64">
        <v>41</v>
      </c>
      <c r="DL48" s="38" t="s">
        <v>141</v>
      </c>
    </row>
    <row r="49" spans="3:116" ht="15" customHeight="1" x14ac:dyDescent="0.2">
      <c r="C49" s="291"/>
      <c r="D49" s="436" t="s">
        <v>191</v>
      </c>
      <c r="E49" s="436"/>
      <c r="F49" s="436"/>
      <c r="G49" s="436"/>
      <c r="H49" s="436"/>
      <c r="I49" s="436"/>
      <c r="J49" s="436"/>
      <c r="K49" s="436"/>
      <c r="L49" s="312"/>
      <c r="M49" s="259"/>
      <c r="N49" s="259"/>
      <c r="O49" s="256"/>
      <c r="P49" s="292"/>
      <c r="Y49" s="267"/>
      <c r="Z49" s="268"/>
      <c r="AB49" s="5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X49" s="125" t="s">
        <v>66</v>
      </c>
      <c r="AY49" s="125"/>
      <c r="BD49" s="121" t="s">
        <v>155</v>
      </c>
      <c r="BE49" s="121"/>
      <c r="BF49" s="81" t="e">
        <f>IF(BK56&gt;40.75,BK66,BK67)</f>
        <v>#DIV/0!</v>
      </c>
      <c r="BJ49" s="310" t="s">
        <v>160</v>
      </c>
      <c r="BK49">
        <f>BK51-(BK53/10)</f>
        <v>0</v>
      </c>
      <c r="CM49" s="50"/>
      <c r="CQ49" s="125" t="s">
        <v>131</v>
      </c>
      <c r="CR49" s="125"/>
      <c r="CT49" s="52"/>
      <c r="CU49" s="52"/>
      <c r="CX49" s="50"/>
      <c r="DB49" s="125" t="s">
        <v>131</v>
      </c>
      <c r="DC49" s="125"/>
      <c r="DE49" s="52"/>
    </row>
    <row r="50" spans="3:116" ht="15" customHeight="1" x14ac:dyDescent="0.2">
      <c r="C50" s="291"/>
      <c r="D50" s="436"/>
      <c r="E50" s="436"/>
      <c r="F50" s="436"/>
      <c r="G50" s="436"/>
      <c r="H50" s="436"/>
      <c r="I50" s="436"/>
      <c r="J50" s="436"/>
      <c r="K50" s="436"/>
      <c r="L50" s="312"/>
      <c r="M50" s="259"/>
      <c r="N50" s="259"/>
      <c r="O50" s="256"/>
      <c r="P50" s="292"/>
      <c r="Y50" s="272" t="s">
        <v>371</v>
      </c>
      <c r="Z50" s="275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X50" s="41">
        <v>0.01</v>
      </c>
      <c r="AY50" s="37" t="s">
        <v>126</v>
      </c>
      <c r="BD50" s="79"/>
      <c r="BE50" s="79"/>
      <c r="BF50" s="79"/>
      <c r="BJ50" s="310" t="s">
        <v>161</v>
      </c>
      <c r="BK50">
        <f>'Avaliação Física 3'!AJ16</f>
        <v>0</v>
      </c>
      <c r="CM50" s="50"/>
      <c r="CN50" s="124" t="s">
        <v>66</v>
      </c>
      <c r="CO50" s="124"/>
      <c r="CQ50" s="65">
        <v>0</v>
      </c>
      <c r="CR50" s="37" t="s">
        <v>144</v>
      </c>
      <c r="CT50" s="52"/>
      <c r="CU50" s="52"/>
      <c r="CX50" s="50"/>
      <c r="CY50" s="124" t="s">
        <v>66</v>
      </c>
      <c r="CZ50" s="124"/>
      <c r="DB50" s="65">
        <v>0</v>
      </c>
      <c r="DC50" s="37" t="s">
        <v>144</v>
      </c>
      <c r="DE50" s="52"/>
      <c r="DH50" s="126"/>
      <c r="DI50" s="126"/>
      <c r="DK50" s="126"/>
      <c r="DL50" s="126"/>
    </row>
    <row r="51" spans="3:116" ht="4.9000000000000004" customHeight="1" x14ac:dyDescent="0.2">
      <c r="C51" s="291"/>
      <c r="D51" s="293"/>
      <c r="E51" s="293"/>
      <c r="F51" s="294"/>
      <c r="G51" s="221"/>
      <c r="H51" s="221"/>
      <c r="I51" s="221"/>
      <c r="J51" s="221"/>
      <c r="K51" s="221"/>
      <c r="L51" s="312"/>
      <c r="M51" s="259"/>
      <c r="N51" s="259"/>
      <c r="O51" s="256"/>
      <c r="P51" s="292"/>
      <c r="Y51" s="267"/>
      <c r="Z51" s="268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X51" s="39">
        <v>0.91</v>
      </c>
      <c r="AY51" s="37" t="s">
        <v>127</v>
      </c>
      <c r="BJ51" s="310" t="s">
        <v>162</v>
      </c>
      <c r="BK51">
        <f>AJ18</f>
        <v>0</v>
      </c>
      <c r="CM51" s="50"/>
      <c r="CN51" s="60">
        <v>0</v>
      </c>
      <c r="CO51" s="34" t="s">
        <v>144</v>
      </c>
      <c r="CQ51" s="65">
        <v>13</v>
      </c>
      <c r="CR51" s="37" t="s">
        <v>143</v>
      </c>
      <c r="CT51" s="52"/>
      <c r="CU51" s="52"/>
      <c r="CX51" s="50"/>
      <c r="CY51" s="60">
        <v>0</v>
      </c>
      <c r="CZ51" s="34" t="s">
        <v>144</v>
      </c>
      <c r="DB51" s="65">
        <v>7</v>
      </c>
      <c r="DC51" s="37" t="s">
        <v>143</v>
      </c>
      <c r="DE51" s="52"/>
      <c r="DH51" s="86"/>
      <c r="DK51" s="86"/>
    </row>
    <row r="52" spans="3:116" ht="15" x14ac:dyDescent="0.2">
      <c r="C52" s="291"/>
      <c r="D52" s="437" t="s">
        <v>360</v>
      </c>
      <c r="E52" s="437"/>
      <c r="F52" s="437"/>
      <c r="G52" s="437"/>
      <c r="H52" s="437"/>
      <c r="I52" s="437"/>
      <c r="J52" s="437"/>
      <c r="K52" s="221"/>
      <c r="L52" s="312"/>
      <c r="M52" s="259"/>
      <c r="N52" s="259"/>
      <c r="O52" s="256"/>
      <c r="P52" s="292"/>
      <c r="Y52" s="269" t="e">
        <f>((4.95/Y48)-4.5)*100</f>
        <v>#VALUE!</v>
      </c>
      <c r="Z52" s="268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X52" s="39">
        <v>0.99</v>
      </c>
      <c r="AY52" s="37" t="s">
        <v>128</v>
      </c>
      <c r="BJ52" s="310" t="s">
        <v>163</v>
      </c>
      <c r="BK52">
        <f>'Avaliação Física 3'!DV16</f>
        <v>0</v>
      </c>
      <c r="CM52" s="50"/>
      <c r="CN52" s="60">
        <v>2</v>
      </c>
      <c r="CO52" s="34" t="s">
        <v>143</v>
      </c>
      <c r="CQ52" s="65">
        <v>18</v>
      </c>
      <c r="CR52" s="37" t="s">
        <v>142</v>
      </c>
      <c r="CT52" s="52"/>
      <c r="CU52" s="52"/>
      <c r="CX52" s="50"/>
      <c r="CY52" s="60">
        <v>1</v>
      </c>
      <c r="CZ52" s="34" t="s">
        <v>143</v>
      </c>
      <c r="DB52" s="65">
        <v>10</v>
      </c>
      <c r="DC52" s="37" t="s">
        <v>142</v>
      </c>
      <c r="DE52" s="52"/>
      <c r="DH52" s="86"/>
      <c r="DK52" s="86"/>
    </row>
    <row r="53" spans="3:116" ht="4.1500000000000004" customHeight="1" x14ac:dyDescent="0.2">
      <c r="C53" s="291"/>
      <c r="D53" s="293"/>
      <c r="E53" s="293"/>
      <c r="F53" s="293"/>
      <c r="G53" s="293"/>
      <c r="H53" s="293"/>
      <c r="I53" s="293"/>
      <c r="J53" s="293"/>
      <c r="K53" s="221"/>
      <c r="L53" s="312"/>
      <c r="M53" s="259"/>
      <c r="N53" s="259"/>
      <c r="O53" s="256"/>
      <c r="P53" s="292"/>
      <c r="Y53" s="270"/>
      <c r="Z53" s="271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X53" s="39">
        <v>1.04</v>
      </c>
      <c r="AY53" s="37" t="s">
        <v>129</v>
      </c>
      <c r="BJ53" s="310" t="s">
        <v>164</v>
      </c>
      <c r="BK53">
        <f>'Avaliação Física 3'!DV21</f>
        <v>0</v>
      </c>
      <c r="CM53" s="50"/>
      <c r="CN53" s="60">
        <v>4</v>
      </c>
      <c r="CO53" s="34" t="s">
        <v>142</v>
      </c>
      <c r="CQ53" s="65">
        <v>22</v>
      </c>
      <c r="CR53" s="37" t="s">
        <v>140</v>
      </c>
      <c r="CT53" s="52"/>
      <c r="CU53" s="52"/>
      <c r="CX53" s="50"/>
      <c r="CY53" s="60">
        <v>5</v>
      </c>
      <c r="CZ53" s="34" t="s">
        <v>142</v>
      </c>
      <c r="DB53" s="65">
        <v>13</v>
      </c>
      <c r="DC53" s="37" t="s">
        <v>140</v>
      </c>
      <c r="DE53" s="52"/>
      <c r="DH53" s="86"/>
      <c r="DK53" s="86"/>
    </row>
    <row r="54" spans="3:116" ht="14.25" customHeight="1" x14ac:dyDescent="0.2">
      <c r="C54" s="291"/>
      <c r="D54" s="437" t="s">
        <v>9</v>
      </c>
      <c r="E54" s="437"/>
      <c r="F54" s="437"/>
      <c r="G54" s="437"/>
      <c r="H54" s="437"/>
      <c r="I54" s="437"/>
      <c r="J54" s="437"/>
      <c r="K54" s="221"/>
      <c r="L54" s="312"/>
      <c r="M54" s="259"/>
      <c r="N54" s="259"/>
      <c r="O54" s="256"/>
      <c r="P54" s="292"/>
      <c r="T54" s="21" t="e">
        <f>(X68+X78+S78)/3</f>
        <v>#VALUE!</v>
      </c>
      <c r="X54" s="102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BB54" s="121" t="s">
        <v>185</v>
      </c>
      <c r="BC54" s="121"/>
      <c r="BD54" s="121"/>
      <c r="CM54" s="50"/>
      <c r="CN54" s="60">
        <v>12</v>
      </c>
      <c r="CO54" s="34" t="s">
        <v>140</v>
      </c>
      <c r="CQ54" s="64">
        <v>31</v>
      </c>
      <c r="CR54" s="38" t="s">
        <v>141</v>
      </c>
      <c r="CT54" s="52"/>
      <c r="CU54" s="52"/>
      <c r="CX54" s="50"/>
      <c r="CY54" s="60">
        <v>12</v>
      </c>
      <c r="CZ54" s="34" t="s">
        <v>140</v>
      </c>
      <c r="DB54" s="64">
        <v>21</v>
      </c>
      <c r="DC54" s="38" t="s">
        <v>141</v>
      </c>
      <c r="DE54" s="52"/>
      <c r="DH54" s="86"/>
      <c r="DK54" s="86"/>
    </row>
    <row r="55" spans="3:116" ht="4.9000000000000004" customHeight="1" x14ac:dyDescent="0.2">
      <c r="C55" s="291"/>
      <c r="D55" s="293"/>
      <c r="E55" s="293"/>
      <c r="F55" s="294"/>
      <c r="G55" s="221"/>
      <c r="H55" s="221"/>
      <c r="I55" s="221"/>
      <c r="J55" s="221"/>
      <c r="K55" s="221"/>
      <c r="L55" s="312"/>
      <c r="M55" s="259"/>
      <c r="N55" s="259"/>
      <c r="O55" s="256"/>
      <c r="P55" s="29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BB55" s="79"/>
      <c r="BC55" s="79"/>
      <c r="BD55" s="79"/>
      <c r="BO55" s="126" t="s">
        <v>155</v>
      </c>
      <c r="BP55" s="126"/>
      <c r="BQ55" t="e">
        <f>IF(BK56&gt;0.01,HLOOKUP(BK56,BN66:BO68,3,TRUE))</f>
        <v>#DIV/0!</v>
      </c>
      <c r="CM55" s="55"/>
      <c r="CN55" s="61">
        <v>16</v>
      </c>
      <c r="CO55" s="35" t="s">
        <v>141</v>
      </c>
      <c r="CP55" s="56"/>
      <c r="CQ55" s="62"/>
      <c r="CR55" s="62"/>
      <c r="CS55" s="56"/>
      <c r="CT55" s="57"/>
      <c r="CU55" s="57"/>
      <c r="CX55" s="55"/>
      <c r="CY55" s="61">
        <v>17</v>
      </c>
      <c r="CZ55" s="35" t="s">
        <v>141</v>
      </c>
      <c r="DA55" s="56"/>
      <c r="DB55" s="62"/>
      <c r="DC55" s="62"/>
      <c r="DD55" s="56"/>
      <c r="DE55" s="57"/>
      <c r="DH55" s="86"/>
      <c r="DK55" s="86"/>
    </row>
    <row r="56" spans="3:116" ht="15" customHeight="1" x14ac:dyDescent="0.2">
      <c r="C56" s="291"/>
      <c r="D56" s="437" t="s">
        <v>10</v>
      </c>
      <c r="E56" s="437"/>
      <c r="F56" s="437"/>
      <c r="G56" s="437"/>
      <c r="H56" s="437"/>
      <c r="I56" s="437"/>
      <c r="J56" s="437"/>
      <c r="K56" s="221"/>
      <c r="L56" s="312"/>
      <c r="M56" s="259"/>
      <c r="N56" s="259"/>
      <c r="O56" s="256"/>
      <c r="P56" s="292"/>
      <c r="BB56" s="121" t="s">
        <v>186</v>
      </c>
      <c r="BC56" s="121"/>
      <c r="BD56" s="121"/>
      <c r="BI56" s="126" t="s">
        <v>165</v>
      </c>
      <c r="BJ56" s="126"/>
      <c r="BK56" t="e">
        <f>BH61/BK58</f>
        <v>#DIV/0!</v>
      </c>
      <c r="CQ56" s="125" t="s">
        <v>66</v>
      </c>
      <c r="CR56" s="125"/>
      <c r="DB56" s="125" t="s">
        <v>66</v>
      </c>
      <c r="DC56" s="125"/>
    </row>
    <row r="57" spans="3:116" ht="4.9000000000000004" customHeight="1" x14ac:dyDescent="0.2">
      <c r="C57" s="291"/>
      <c r="D57" s="293"/>
      <c r="E57" s="293"/>
      <c r="F57" s="294"/>
      <c r="G57" s="221"/>
      <c r="H57" s="221"/>
      <c r="I57" s="221"/>
      <c r="J57" s="221"/>
      <c r="K57" s="221"/>
      <c r="L57" s="312"/>
      <c r="M57" s="259"/>
      <c r="N57" s="259"/>
      <c r="O57" s="256"/>
      <c r="P57" s="292"/>
      <c r="BB57" s="79"/>
      <c r="BC57" s="79"/>
      <c r="BD57" s="79"/>
      <c r="CQ57" s="64">
        <v>0</v>
      </c>
      <c r="CR57" s="37" t="s">
        <v>144</v>
      </c>
      <c r="DB57" s="64">
        <v>0</v>
      </c>
      <c r="DC57" s="37" t="s">
        <v>144</v>
      </c>
    </row>
    <row r="58" spans="3:116" ht="15" x14ac:dyDescent="0.2">
      <c r="C58" s="291"/>
      <c r="D58" s="436" t="s">
        <v>192</v>
      </c>
      <c r="E58" s="436"/>
      <c r="F58" s="436"/>
      <c r="G58" s="436"/>
      <c r="H58" s="436"/>
      <c r="I58" s="436"/>
      <c r="J58" s="436"/>
      <c r="K58" s="221"/>
      <c r="L58" s="312"/>
      <c r="M58" s="259"/>
      <c r="N58" s="259"/>
      <c r="O58" s="256"/>
      <c r="P58" s="292"/>
      <c r="V58" s="177" t="e">
        <f ca="1">(IF(E75="Faulkner",AB88,"-"),IF(E75="Jackson e Pollock 7 dobras",AB89,"-"),IF(E75="Jackson e Pollock 3 dobras",AB90,"-"),IF(E75="Guedes 3 dobras",AB91,"-"))</f>
        <v>#VALUE!</v>
      </c>
      <c r="BB58" s="79"/>
      <c r="BC58" s="79"/>
      <c r="BD58" s="79"/>
      <c r="BI58" t="s">
        <v>166</v>
      </c>
      <c r="BK58">
        <f>AP9^(1/3)</f>
        <v>0</v>
      </c>
      <c r="CQ58" s="64">
        <v>7</v>
      </c>
      <c r="CR58" s="37" t="s">
        <v>143</v>
      </c>
      <c r="DB58" s="64">
        <v>5</v>
      </c>
      <c r="DC58" s="37" t="s">
        <v>143</v>
      </c>
    </row>
    <row r="59" spans="3:116" ht="15" customHeight="1" x14ac:dyDescent="0.2">
      <c r="C59" s="291"/>
      <c r="D59" s="436"/>
      <c r="E59" s="436"/>
      <c r="F59" s="436"/>
      <c r="G59" s="436"/>
      <c r="H59" s="436"/>
      <c r="I59" s="436"/>
      <c r="J59" s="436"/>
      <c r="K59" s="221"/>
      <c r="L59" s="312"/>
      <c r="M59" s="259"/>
      <c r="N59" s="259"/>
      <c r="O59" s="256"/>
      <c r="P59" s="292"/>
      <c r="Y59" s="163" t="s">
        <v>262</v>
      </c>
      <c r="Z59" s="3"/>
      <c r="AA59" s="3"/>
      <c r="AB59" s="164"/>
      <c r="CQ59" s="64">
        <v>12</v>
      </c>
      <c r="CR59" s="37" t="s">
        <v>142</v>
      </c>
      <c r="DB59" s="64">
        <v>8</v>
      </c>
      <c r="DC59" s="37" t="s">
        <v>142</v>
      </c>
    </row>
    <row r="60" spans="3:116" ht="4.9000000000000004" customHeight="1" x14ac:dyDescent="0.2">
      <c r="C60" s="291"/>
      <c r="D60" s="293"/>
      <c r="E60" s="293"/>
      <c r="F60" s="294"/>
      <c r="G60" s="221"/>
      <c r="H60" s="221"/>
      <c r="I60" s="221"/>
      <c r="J60" s="221"/>
      <c r="K60" s="221"/>
      <c r="L60" s="312"/>
      <c r="M60" s="259"/>
      <c r="N60" s="259"/>
      <c r="O60" s="256"/>
      <c r="P60" s="292"/>
      <c r="Y60" s="2"/>
      <c r="Z60" s="106"/>
      <c r="AA60" s="106"/>
      <c r="AB60" s="165"/>
      <c r="CQ60" s="64">
        <v>11</v>
      </c>
      <c r="CR60" s="37" t="s">
        <v>140</v>
      </c>
      <c r="DB60" s="64">
        <v>11</v>
      </c>
      <c r="DC60" s="37" t="s">
        <v>140</v>
      </c>
    </row>
    <row r="61" spans="3:116" ht="15" customHeight="1" x14ac:dyDescent="0.2">
      <c r="C61" s="291"/>
      <c r="D61" s="436" t="s">
        <v>193</v>
      </c>
      <c r="E61" s="436"/>
      <c r="F61" s="436"/>
      <c r="G61" s="436"/>
      <c r="H61" s="436"/>
      <c r="I61" s="436"/>
      <c r="J61" s="436"/>
      <c r="K61" s="221"/>
      <c r="L61" s="312"/>
      <c r="M61" s="259"/>
      <c r="N61" s="259"/>
      <c r="O61" s="256"/>
      <c r="P61" s="292"/>
      <c r="Y61" s="2">
        <f>J77+N77+N78</f>
        <v>0</v>
      </c>
      <c r="Z61" s="106"/>
      <c r="AA61" s="106"/>
      <c r="AB61" s="165"/>
      <c r="BG61" s="75" t="s">
        <v>167</v>
      </c>
      <c r="BH61" s="73">
        <f>AP10*100</f>
        <v>0</v>
      </c>
      <c r="BK61" t="e">
        <f ca="1">IF(BK56&gt;40.75,(BK56*0.732)-28.58),IF(BK56&lt;=40.74,(BK56*0.463)-17.63),IF(BK56&lt;=38.25,0.1)</f>
        <v>#DIV/0!</v>
      </c>
      <c r="CQ61" s="64">
        <v>26</v>
      </c>
      <c r="CR61" s="38" t="s">
        <v>141</v>
      </c>
      <c r="DB61" s="64">
        <v>18</v>
      </c>
      <c r="DC61" s="38" t="s">
        <v>141</v>
      </c>
    </row>
    <row r="62" spans="3:116" ht="15" x14ac:dyDescent="0.2">
      <c r="C62" s="291"/>
      <c r="D62" s="436"/>
      <c r="E62" s="436"/>
      <c r="F62" s="436"/>
      <c r="G62" s="436"/>
      <c r="H62" s="436"/>
      <c r="I62" s="436"/>
      <c r="J62" s="436"/>
      <c r="K62" s="221"/>
      <c r="L62" s="312"/>
      <c r="M62" s="259"/>
      <c r="N62" s="259"/>
      <c r="O62" s="256"/>
      <c r="P62" s="292"/>
      <c r="V62" s="21" t="e">
        <f ca="1">IF(E75="Faulkner",S78,"-"),IF(E75="Jackson e Pollock 7 dobras",EL26,"-"),IF(E75="Jackson e Pollock 3 dobras",X78,"-")</f>
        <v>#VALUE!</v>
      </c>
      <c r="Y62" s="2"/>
      <c r="Z62" s="106"/>
      <c r="AA62" s="106"/>
      <c r="AB62" s="165"/>
      <c r="BC62" s="126"/>
      <c r="BD62" s="126"/>
      <c r="BE62" s="126"/>
    </row>
    <row r="63" spans="3:116" ht="4.9000000000000004" customHeight="1" x14ac:dyDescent="0.2">
      <c r="C63" s="291"/>
      <c r="D63" s="293"/>
      <c r="E63" s="293"/>
      <c r="F63" s="294"/>
      <c r="G63" s="221"/>
      <c r="H63" s="221"/>
      <c r="I63" s="221"/>
      <c r="J63" s="221"/>
      <c r="K63" s="221"/>
      <c r="L63" s="312"/>
      <c r="M63" s="259"/>
      <c r="N63" s="259"/>
      <c r="O63" s="256"/>
      <c r="P63" s="292"/>
      <c r="Y63" s="2"/>
      <c r="Z63" s="106"/>
      <c r="AA63" s="106"/>
      <c r="AB63" s="165"/>
      <c r="BC63" s="126"/>
      <c r="BD63" s="126"/>
      <c r="BE63" s="126"/>
    </row>
    <row r="64" spans="3:116" ht="15" x14ac:dyDescent="0.2">
      <c r="C64" s="291"/>
      <c r="D64" s="437" t="s">
        <v>11</v>
      </c>
      <c r="E64" s="437"/>
      <c r="F64" s="437"/>
      <c r="G64" s="437"/>
      <c r="H64" s="437"/>
      <c r="I64" s="437"/>
      <c r="J64" s="437"/>
      <c r="K64" s="221"/>
      <c r="L64" s="312"/>
      <c r="M64" s="259"/>
      <c r="N64" s="259"/>
      <c r="O64" s="256"/>
      <c r="P64" s="292"/>
      <c r="Y64" s="2" t="s">
        <v>261</v>
      </c>
      <c r="Z64" s="106"/>
      <c r="AA64" s="106"/>
      <c r="AB64" s="165"/>
      <c r="BB64">
        <v>3</v>
      </c>
      <c r="BC64" s="126" t="s">
        <v>174</v>
      </c>
      <c r="BD64" s="126"/>
      <c r="BE64" s="126"/>
    </row>
    <row r="65" spans="3:69" ht="15" x14ac:dyDescent="0.2">
      <c r="C65" s="295"/>
      <c r="D65" s="296"/>
      <c r="E65" s="296"/>
      <c r="F65" s="297"/>
      <c r="G65" s="279"/>
      <c r="H65" s="279"/>
      <c r="I65" s="279"/>
      <c r="J65" s="279"/>
      <c r="K65" s="279"/>
      <c r="L65" s="298"/>
      <c r="M65" s="299"/>
      <c r="N65" s="299"/>
      <c r="O65" s="298"/>
      <c r="P65" s="300"/>
      <c r="Y65" s="166">
        <f>F78+J79+N78</f>
        <v>0</v>
      </c>
      <c r="Z65" s="1"/>
      <c r="AA65" s="1"/>
      <c r="AB65" s="168"/>
      <c r="BC65" s="126"/>
      <c r="BD65" s="126"/>
      <c r="BE65" s="126"/>
      <c r="BI65" s="127" t="s">
        <v>171</v>
      </c>
      <c r="BJ65" s="127"/>
      <c r="BK65" s="127"/>
      <c r="BM65" s="127" t="s">
        <v>171</v>
      </c>
      <c r="BN65" s="127"/>
      <c r="BO65" s="127"/>
    </row>
    <row r="66" spans="3:69" ht="15" hidden="1" x14ac:dyDescent="0.2">
      <c r="BC66" s="126"/>
      <c r="BD66" s="126"/>
      <c r="BE66" s="126"/>
      <c r="BI66" s="71"/>
      <c r="BJ66" s="71" t="s">
        <v>168</v>
      </c>
      <c r="BK66" s="74" t="e">
        <f>(BK56*0.732)-28.58</f>
        <v>#DIV/0!</v>
      </c>
      <c r="BM66" s="71"/>
      <c r="BN66" s="77">
        <v>40.76</v>
      </c>
      <c r="BO66" s="74" t="e">
        <f>BK66</f>
        <v>#DIV/0!</v>
      </c>
    </row>
    <row r="67" spans="3:69" ht="15" x14ac:dyDescent="0.2">
      <c r="C67" s="362" t="s">
        <v>203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S67" t="s">
        <v>375</v>
      </c>
      <c r="BC67" s="126"/>
      <c r="BD67" s="126"/>
      <c r="BE67" s="126"/>
      <c r="BI67" s="128" t="s">
        <v>169</v>
      </c>
      <c r="BJ67" s="128"/>
      <c r="BK67" s="74" t="e">
        <f>(BK56*0.463)-17.63</f>
        <v>#DIV/0!</v>
      </c>
      <c r="BM67" s="76"/>
      <c r="BN67" s="78">
        <v>38.26</v>
      </c>
      <c r="BO67" s="74" t="e">
        <f>BK67</f>
        <v>#DIV/0!</v>
      </c>
    </row>
    <row r="68" spans="3:69" ht="15" x14ac:dyDescent="0.2">
      <c r="C68" s="238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7"/>
      <c r="S68" t="s">
        <v>385</v>
      </c>
      <c r="W68" s="310" t="s">
        <v>40</v>
      </c>
      <c r="X68" s="178" t="str">
        <f>IF(E75="Faulkner",S78,"-")</f>
        <v>-</v>
      </c>
      <c r="Z68" s="32"/>
      <c r="AB68" s="21"/>
      <c r="AD68" s="21"/>
      <c r="BC68" s="126"/>
      <c r="BD68" s="126"/>
      <c r="BE68" s="126"/>
      <c r="BI68" s="71"/>
      <c r="BJ68" s="71" t="s">
        <v>170</v>
      </c>
      <c r="BK68" s="71">
        <v>0.1</v>
      </c>
      <c r="BM68" s="71"/>
      <c r="BN68" s="77">
        <v>1</v>
      </c>
      <c r="BO68" s="74">
        <f>BK68</f>
        <v>0.1</v>
      </c>
    </row>
    <row r="69" spans="3:69" ht="15" x14ac:dyDescent="0.2">
      <c r="C69" s="240"/>
      <c r="D69" s="221"/>
      <c r="E69" s="221"/>
      <c r="F69" s="306" t="s">
        <v>92</v>
      </c>
      <c r="G69" s="221"/>
      <c r="H69" s="306" t="s">
        <v>93</v>
      </c>
      <c r="I69" s="221"/>
      <c r="J69" s="221"/>
      <c r="K69" s="221"/>
      <c r="L69" s="221"/>
      <c r="M69" s="221"/>
      <c r="N69" s="221"/>
      <c r="O69" s="221"/>
      <c r="P69" s="278"/>
      <c r="S69" t="s">
        <v>258</v>
      </c>
      <c r="BC69" s="126"/>
      <c r="BD69" s="126"/>
      <c r="BE69" s="126"/>
    </row>
    <row r="70" spans="3:69" ht="15" x14ac:dyDescent="0.2">
      <c r="C70" s="240"/>
      <c r="D70" s="307" t="s">
        <v>12</v>
      </c>
      <c r="E70" s="307"/>
      <c r="F70" s="313"/>
      <c r="G70" s="221"/>
      <c r="H70" s="313"/>
      <c r="I70" s="221"/>
      <c r="J70" s="377" t="s">
        <v>91</v>
      </c>
      <c r="K70" s="377"/>
      <c r="L70" s="249"/>
      <c r="M70" s="221"/>
      <c r="N70" s="221"/>
      <c r="O70" s="221"/>
      <c r="P70" s="278"/>
      <c r="S70" t="s">
        <v>265</v>
      </c>
      <c r="BB70">
        <v>9</v>
      </c>
      <c r="BC70" s="126" t="s">
        <v>180</v>
      </c>
      <c r="BD70" s="126"/>
      <c r="BE70" s="126"/>
    </row>
    <row r="71" spans="3:69" ht="15" x14ac:dyDescent="0.2">
      <c r="C71" s="240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78"/>
      <c r="S71" t="s">
        <v>373</v>
      </c>
      <c r="W71" s="163"/>
      <c r="X71" s="169" t="s">
        <v>260</v>
      </c>
      <c r="Y71" s="169"/>
      <c r="Z71" s="169"/>
      <c r="AA71" s="171"/>
      <c r="BC71" s="126"/>
      <c r="BD71" s="126"/>
      <c r="BE71" s="126"/>
      <c r="BQ71" s="79" t="s">
        <v>138</v>
      </c>
    </row>
    <row r="72" spans="3:69" ht="15" x14ac:dyDescent="0.2">
      <c r="C72" s="240"/>
      <c r="D72" s="377" t="s">
        <v>118</v>
      </c>
      <c r="E72" s="377"/>
      <c r="F72" s="264"/>
      <c r="G72" s="221"/>
      <c r="H72" s="377" t="s">
        <v>17</v>
      </c>
      <c r="I72" s="377"/>
      <c r="J72" s="250"/>
      <c r="K72" s="377" t="s">
        <v>277</v>
      </c>
      <c r="L72" s="377"/>
      <c r="M72" s="377"/>
      <c r="N72" s="258" t="str">
        <f>IF(J72="","-",66+(13.8*F72)+(5*U102)-(6.8*N9))</f>
        <v>-</v>
      </c>
      <c r="O72" s="221"/>
      <c r="P72" s="278"/>
      <c r="S72" t="s">
        <v>372</v>
      </c>
      <c r="W72" s="2"/>
      <c r="X72" s="106" t="e">
        <f>IF(EJ4=0,SUM(1.0994921-(0.0009929*Y65)+(0.0000023*(Y65*Y65))-(0.0001392*N9)),SUM((1.10938-(0.0008267*Y61)+(0.0000016*(Y61*Y61))-(0.0002574*N9))))</f>
        <v>#VALUE!</v>
      </c>
      <c r="Y72" s="106"/>
      <c r="Z72" s="106"/>
      <c r="AA72" s="165"/>
      <c r="BC72" s="126"/>
      <c r="BD72" s="126"/>
      <c r="BE72" s="126"/>
      <c r="BQ72" s="79">
        <v>6</v>
      </c>
    </row>
    <row r="73" spans="3:69" ht="15" x14ac:dyDescent="0.2">
      <c r="C73" s="240"/>
      <c r="D73" s="307"/>
      <c r="E73" s="307"/>
      <c r="F73" s="312"/>
      <c r="G73" s="256"/>
      <c r="H73" s="312"/>
      <c r="I73" s="221"/>
      <c r="J73" s="221"/>
      <c r="K73" s="221"/>
      <c r="L73" s="221"/>
      <c r="M73" s="221"/>
      <c r="N73" s="221"/>
      <c r="O73" s="221"/>
      <c r="P73" s="278"/>
      <c r="S73" t="s">
        <v>387</v>
      </c>
      <c r="W73" s="2"/>
      <c r="X73" s="106"/>
      <c r="Y73" s="106"/>
      <c r="Z73" s="106"/>
      <c r="AA73" s="165"/>
      <c r="BC73" s="126"/>
      <c r="BD73" s="126"/>
      <c r="BE73" s="126"/>
    </row>
    <row r="74" spans="3:69" ht="15" x14ac:dyDescent="0.2">
      <c r="C74" s="240"/>
      <c r="D74" s="493" t="s">
        <v>256</v>
      </c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78"/>
      <c r="S74" t="s">
        <v>374</v>
      </c>
      <c r="W74" s="2"/>
      <c r="X74" s="106"/>
      <c r="Y74" s="106"/>
      <c r="Z74" s="106"/>
      <c r="AA74" s="165"/>
      <c r="BC74" s="126"/>
      <c r="BD74" s="126"/>
      <c r="BE74" s="126"/>
    </row>
    <row r="75" spans="3:69" ht="15" x14ac:dyDescent="0.2">
      <c r="C75" s="240"/>
      <c r="D75" s="493"/>
      <c r="E75" s="383"/>
      <c r="F75" s="384"/>
      <c r="G75" s="384"/>
      <c r="H75" s="384"/>
      <c r="I75" s="384"/>
      <c r="J75" s="385"/>
      <c r="K75" s="221"/>
      <c r="L75" s="221"/>
      <c r="M75" s="221"/>
      <c r="N75" s="221"/>
      <c r="O75" s="221"/>
      <c r="P75" s="278"/>
      <c r="S75" t="s">
        <v>376</v>
      </c>
      <c r="W75" s="2"/>
      <c r="X75" s="106"/>
      <c r="Y75" s="106"/>
      <c r="Z75" s="106"/>
      <c r="AA75" s="165"/>
      <c r="BC75" s="126"/>
      <c r="BD75" s="126"/>
      <c r="BE75" s="126"/>
    </row>
    <row r="76" spans="3:69" ht="15" x14ac:dyDescent="0.2">
      <c r="C76" s="240"/>
      <c r="D76" s="376" t="s">
        <v>116</v>
      </c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221"/>
      <c r="P76" s="278"/>
      <c r="W76" s="2"/>
      <c r="X76" s="106"/>
      <c r="Y76" s="106"/>
      <c r="Z76" s="106"/>
      <c r="AA76" s="165"/>
      <c r="BC76" s="126"/>
      <c r="BD76" s="126"/>
      <c r="BE76" s="126"/>
      <c r="BL76" t="e">
        <f>VLOOKUP(BQ72,BB62:BE76,2,FALSE)</f>
        <v>#N/A</v>
      </c>
    </row>
    <row r="77" spans="3:69" ht="15" x14ac:dyDescent="0.2">
      <c r="C77" s="240"/>
      <c r="D77" s="377" t="s">
        <v>18</v>
      </c>
      <c r="E77" s="377"/>
      <c r="F77" s="313"/>
      <c r="G77" s="221"/>
      <c r="H77" s="377" t="s">
        <v>20</v>
      </c>
      <c r="I77" s="377"/>
      <c r="J77" s="313"/>
      <c r="K77" s="221"/>
      <c r="L77" s="377" t="s">
        <v>22</v>
      </c>
      <c r="M77" s="377"/>
      <c r="N77" s="313"/>
      <c r="O77" s="221"/>
      <c r="P77" s="278"/>
      <c r="S77" s="175" t="s">
        <v>259</v>
      </c>
      <c r="W77" s="2"/>
      <c r="X77" s="170" t="s">
        <v>266</v>
      </c>
      <c r="Y77" s="170"/>
      <c r="Z77" s="106"/>
      <c r="AA77" s="165"/>
    </row>
    <row r="78" spans="3:69" ht="15" x14ac:dyDescent="0.2">
      <c r="C78" s="240"/>
      <c r="D78" s="377" t="s">
        <v>19</v>
      </c>
      <c r="E78" s="377"/>
      <c r="F78" s="313"/>
      <c r="G78" s="221"/>
      <c r="H78" s="377" t="s">
        <v>21</v>
      </c>
      <c r="I78" s="377"/>
      <c r="J78" s="313"/>
      <c r="K78" s="221"/>
      <c r="L78" s="377" t="s">
        <v>23</v>
      </c>
      <c r="M78" s="377"/>
      <c r="N78" s="313"/>
      <c r="O78" s="221"/>
      <c r="P78" s="278"/>
      <c r="S78" s="176">
        <f>(F78+F77+J79+N77)*0.153+5.783</f>
        <v>5.7830000000000004</v>
      </c>
      <c r="W78" s="166"/>
      <c r="X78" s="167" t="e">
        <f>((4.95/X72)-4.5)*100</f>
        <v>#VALUE!</v>
      </c>
      <c r="Y78" s="1"/>
      <c r="Z78" s="1"/>
      <c r="AA78" s="168"/>
    </row>
    <row r="79" spans="3:69" ht="15" x14ac:dyDescent="0.2">
      <c r="C79" s="240"/>
      <c r="D79" s="377" t="s">
        <v>368</v>
      </c>
      <c r="E79" s="377"/>
      <c r="F79" s="313"/>
      <c r="G79" s="221"/>
      <c r="H79" s="377" t="s">
        <v>43</v>
      </c>
      <c r="I79" s="377"/>
      <c r="J79" s="313"/>
      <c r="K79" s="221"/>
      <c r="L79" s="377" t="s">
        <v>367</v>
      </c>
      <c r="M79" s="377"/>
      <c r="N79" s="313"/>
      <c r="O79" s="221"/>
      <c r="P79" s="278"/>
    </row>
    <row r="80" spans="3:69" ht="15" x14ac:dyDescent="0.2">
      <c r="C80" s="240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78"/>
      <c r="W80" s="426" t="s">
        <v>375</v>
      </c>
      <c r="X80" s="426"/>
      <c r="Y80" s="21" t="e">
        <f>IF(L9="Feminino",1.2*J101+0.23*N9-10.8*0-5.4,1.2*J101+0.23*N9-10.8*1-5.4)</f>
        <v>#VALUE!</v>
      </c>
    </row>
    <row r="81" spans="3:61" ht="15" x14ac:dyDescent="0.2">
      <c r="C81" s="240"/>
      <c r="D81" s="221"/>
      <c r="E81" s="221"/>
      <c r="F81" s="221"/>
      <c r="G81" s="221"/>
      <c r="H81" s="221"/>
      <c r="I81" s="221"/>
      <c r="J81" s="221"/>
      <c r="K81" s="221"/>
      <c r="L81" s="377" t="s">
        <v>24</v>
      </c>
      <c r="M81" s="377"/>
      <c r="N81" s="257">
        <f>'Avaliação Física 3'!DV23+N79+F79</f>
        <v>0</v>
      </c>
      <c r="O81" s="221"/>
      <c r="P81" s="278"/>
      <c r="W81" s="426" t="s">
        <v>376</v>
      </c>
      <c r="X81" s="426"/>
      <c r="Y81" s="21">
        <f>IF(L9="feminino",0.11077*F87-0.17666*U102+0.187*F72+51.03301,0.31457*F87-0.10969*F72+10.8336)</f>
        <v>10.833600000000001</v>
      </c>
    </row>
    <row r="82" spans="3:61" ht="15" x14ac:dyDescent="0.2">
      <c r="C82" s="240"/>
      <c r="D82" s="486" t="s">
        <v>117</v>
      </c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221"/>
      <c r="P82" s="278"/>
    </row>
    <row r="83" spans="3:61" ht="15" x14ac:dyDescent="0.2">
      <c r="C83" s="240"/>
      <c r="D83" s="221"/>
      <c r="E83" s="221"/>
      <c r="F83" s="221"/>
      <c r="G83" s="221"/>
      <c r="H83" s="221"/>
      <c r="I83" s="221"/>
      <c r="J83" s="306" t="s">
        <v>57</v>
      </c>
      <c r="K83" s="306"/>
      <c r="L83" s="306" t="s">
        <v>58</v>
      </c>
      <c r="M83" s="221"/>
      <c r="N83" s="221"/>
      <c r="O83" s="221"/>
      <c r="P83" s="278"/>
      <c r="S83" t="s">
        <v>257</v>
      </c>
    </row>
    <row r="84" spans="3:61" ht="15" x14ac:dyDescent="0.2">
      <c r="C84" s="240"/>
      <c r="D84" s="377" t="s">
        <v>226</v>
      </c>
      <c r="E84" s="377"/>
      <c r="F84" s="313"/>
      <c r="G84" s="221"/>
      <c r="H84" s="377" t="s">
        <v>207</v>
      </c>
      <c r="I84" s="377"/>
      <c r="J84" s="313"/>
      <c r="K84" s="221"/>
      <c r="L84" s="313"/>
      <c r="M84" s="221"/>
      <c r="N84" s="221"/>
      <c r="O84" s="221"/>
      <c r="P84" s="278"/>
    </row>
    <row r="85" spans="3:61" ht="15" x14ac:dyDescent="0.2">
      <c r="C85" s="240"/>
      <c r="D85" s="377" t="s">
        <v>227</v>
      </c>
      <c r="E85" s="377"/>
      <c r="F85" s="313"/>
      <c r="G85" s="221"/>
      <c r="H85" s="377" t="s">
        <v>208</v>
      </c>
      <c r="I85" s="377"/>
      <c r="J85" s="313"/>
      <c r="K85" s="221"/>
      <c r="L85" s="313"/>
      <c r="M85" s="221"/>
      <c r="N85" s="221"/>
      <c r="O85" s="221"/>
      <c r="P85" s="278"/>
      <c r="S85">
        <f>J84-L84</f>
        <v>0</v>
      </c>
      <c r="AA85" t="e">
        <f>INDEX(E75,MATCH(AB:AB,X:AA,0))</f>
        <v>#N/A</v>
      </c>
    </row>
    <row r="86" spans="3:61" ht="15" x14ac:dyDescent="0.2">
      <c r="C86" s="240"/>
      <c r="D86" s="377" t="s">
        <v>205</v>
      </c>
      <c r="E86" s="377"/>
      <c r="F86" s="313"/>
      <c r="G86" s="221"/>
      <c r="H86" s="377" t="s">
        <v>209</v>
      </c>
      <c r="I86" s="377"/>
      <c r="J86" s="313"/>
      <c r="K86" s="221"/>
      <c r="L86" s="313"/>
      <c r="M86" s="221"/>
      <c r="N86" s="221"/>
      <c r="O86" s="221"/>
      <c r="P86" s="278"/>
      <c r="S86">
        <f>J85-L85</f>
        <v>0</v>
      </c>
      <c r="BG86" s="82">
        <v>3</v>
      </c>
      <c r="BH86" s="82">
        <v>2</v>
      </c>
      <c r="BI86" s="82">
        <v>2</v>
      </c>
    </row>
    <row r="87" spans="3:61" ht="15" x14ac:dyDescent="0.2">
      <c r="C87" s="240"/>
      <c r="D87" s="377" t="s">
        <v>377</v>
      </c>
      <c r="E87" s="377"/>
      <c r="F87" s="313"/>
      <c r="G87" s="221"/>
      <c r="H87" s="377" t="s">
        <v>210</v>
      </c>
      <c r="I87" s="377"/>
      <c r="J87" s="313"/>
      <c r="K87" s="221"/>
      <c r="L87" s="313"/>
      <c r="M87" s="221"/>
      <c r="N87" s="221"/>
      <c r="O87" s="221"/>
      <c r="P87" s="278"/>
      <c r="S87">
        <f>J86-L86</f>
        <v>0</v>
      </c>
    </row>
    <row r="88" spans="3:61" ht="15" x14ac:dyDescent="0.2">
      <c r="C88" s="240"/>
      <c r="D88" s="377" t="s">
        <v>206</v>
      </c>
      <c r="E88" s="377"/>
      <c r="F88" s="313"/>
      <c r="G88" s="221"/>
      <c r="H88" s="487"/>
      <c r="I88" s="487"/>
      <c r="J88" s="313"/>
      <c r="K88" s="221"/>
      <c r="L88" s="313"/>
      <c r="M88" s="221"/>
      <c r="N88" s="221"/>
      <c r="O88" s="221"/>
      <c r="P88" s="278"/>
      <c r="S88">
        <f>J87-L87</f>
        <v>0</v>
      </c>
      <c r="U88" s="6" t="s">
        <v>26</v>
      </c>
      <c r="V88" s="6" t="s">
        <v>27</v>
      </c>
      <c r="X88">
        <v>1</v>
      </c>
      <c r="Y88" s="426" t="s">
        <v>258</v>
      </c>
      <c r="Z88" s="426"/>
      <c r="AA88" s="426"/>
      <c r="AB88" s="21">
        <f>S78</f>
        <v>5.7830000000000004</v>
      </c>
    </row>
    <row r="89" spans="3:61" ht="15" x14ac:dyDescent="0.2">
      <c r="C89" s="240"/>
      <c r="D89" s="307"/>
      <c r="E89" s="307"/>
      <c r="F89" s="256"/>
      <c r="G89" s="256"/>
      <c r="H89" s="256"/>
      <c r="I89" s="256"/>
      <c r="J89" s="256"/>
      <c r="K89" s="256"/>
      <c r="L89" s="256"/>
      <c r="M89" s="221"/>
      <c r="N89" s="221"/>
      <c r="O89" s="221"/>
      <c r="P89" s="278"/>
      <c r="U89" s="7"/>
      <c r="V89" s="7"/>
      <c r="X89">
        <v>2</v>
      </c>
      <c r="Y89" s="426" t="s">
        <v>263</v>
      </c>
      <c r="Z89" s="426"/>
      <c r="AA89" s="426"/>
      <c r="AB89" s="21" t="e">
        <f>EL26</f>
        <v>#VALUE!</v>
      </c>
    </row>
    <row r="90" spans="3:61" ht="15" x14ac:dyDescent="0.2">
      <c r="C90" s="240"/>
      <c r="D90" s="261"/>
      <c r="E90" s="261"/>
      <c r="F90" s="283"/>
      <c r="G90" s="283"/>
      <c r="H90" s="473"/>
      <c r="I90" s="473"/>
      <c r="J90" s="312"/>
      <c r="K90" s="256"/>
      <c r="L90" s="312"/>
      <c r="M90" s="221"/>
      <c r="N90" s="221"/>
      <c r="O90" s="221"/>
      <c r="P90" s="278"/>
      <c r="R90" s="310" t="s">
        <v>388</v>
      </c>
      <c r="S90">
        <f>IF(S85&lt;0,-S85,S85)</f>
        <v>0</v>
      </c>
      <c r="U90" s="7"/>
      <c r="V90" s="7"/>
      <c r="X90">
        <v>3</v>
      </c>
      <c r="Y90" s="426" t="s">
        <v>264</v>
      </c>
      <c r="Z90" s="426"/>
      <c r="AA90" s="426"/>
      <c r="AB90" s="21" t="e">
        <f>X78</f>
        <v>#VALUE!</v>
      </c>
    </row>
    <row r="91" spans="3:61" ht="15" x14ac:dyDescent="0.2">
      <c r="C91" s="240"/>
      <c r="D91" s="307" t="s">
        <v>62</v>
      </c>
      <c r="E91" s="430" t="str">
        <f>IF(F88="","-",F86/F88)</f>
        <v>-</v>
      </c>
      <c r="F91" s="488"/>
      <c r="G91" s="221"/>
      <c r="H91" s="307" t="s">
        <v>27</v>
      </c>
      <c r="I91" s="446" t="str">
        <f>IF(F88="","-",'Avaliação Física 3'!AY18)</f>
        <v>-</v>
      </c>
      <c r="J91" s="431"/>
      <c r="K91" s="221"/>
      <c r="L91" s="221"/>
      <c r="M91" s="221"/>
      <c r="N91" s="221"/>
      <c r="O91" s="221"/>
      <c r="P91" s="278"/>
      <c r="R91" s="310" t="s">
        <v>389</v>
      </c>
      <c r="S91">
        <f t="shared" ref="S91:S93" si="1">IF(S86&lt;0,-S86,S86)</f>
        <v>0</v>
      </c>
      <c r="U91" s="7">
        <v>0</v>
      </c>
      <c r="V91" s="7" t="s">
        <v>28</v>
      </c>
      <c r="X91">
        <v>4</v>
      </c>
      <c r="Y91" s="426" t="s">
        <v>265</v>
      </c>
      <c r="Z91" s="426"/>
      <c r="AA91" s="426"/>
      <c r="AB91" s="21" t="e">
        <f>Y43</f>
        <v>#NUM!</v>
      </c>
    </row>
    <row r="92" spans="3:61" ht="15" x14ac:dyDescent="0.2">
      <c r="C92" s="240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78"/>
      <c r="R92" s="310" t="s">
        <v>390</v>
      </c>
      <c r="S92">
        <f t="shared" si="1"/>
        <v>0</v>
      </c>
      <c r="U92" s="7">
        <v>16.100000000000001</v>
      </c>
      <c r="V92" s="7" t="s">
        <v>29</v>
      </c>
      <c r="X92">
        <v>5</v>
      </c>
      <c r="Y92" s="477" t="s">
        <v>374</v>
      </c>
      <c r="Z92" s="477"/>
      <c r="AA92" s="477"/>
      <c r="AB92">
        <f>T120</f>
        <v>1</v>
      </c>
      <c r="BB92">
        <v>1</v>
      </c>
      <c r="BC92" s="126" t="s">
        <v>172</v>
      </c>
      <c r="BD92" s="126"/>
      <c r="BE92" s="126"/>
    </row>
    <row r="93" spans="3:61" ht="15" x14ac:dyDescent="0.2">
      <c r="C93" s="240"/>
      <c r="D93" s="486" t="s">
        <v>212</v>
      </c>
      <c r="E93" s="486"/>
      <c r="F93" s="486"/>
      <c r="G93" s="486"/>
      <c r="H93" s="486"/>
      <c r="I93" s="486"/>
      <c r="J93" s="486"/>
      <c r="K93" s="486"/>
      <c r="L93" s="486"/>
      <c r="M93" s="221"/>
      <c r="N93" s="221"/>
      <c r="O93" s="221"/>
      <c r="P93" s="278"/>
      <c r="R93" s="310" t="s">
        <v>391</v>
      </c>
      <c r="S93">
        <f t="shared" si="1"/>
        <v>0</v>
      </c>
      <c r="U93" s="7">
        <v>17</v>
      </c>
      <c r="V93" s="7" t="s">
        <v>30</v>
      </c>
      <c r="X93">
        <v>6</v>
      </c>
      <c r="Y93" s="426" t="s">
        <v>375</v>
      </c>
      <c r="Z93" s="426"/>
      <c r="AA93" s="426"/>
      <c r="AB93" s="21" t="e">
        <f>Y80</f>
        <v>#VALUE!</v>
      </c>
      <c r="BB93">
        <v>2</v>
      </c>
      <c r="BC93" s="126" t="s">
        <v>173</v>
      </c>
      <c r="BD93" s="126"/>
      <c r="BE93" s="126"/>
      <c r="BH93" s="308" t="str">
        <f>IF(AND(BG86&lt;BH86,BH86&lt;BI86),"ECTOMORFO-ENDOMORFO","")</f>
        <v/>
      </c>
    </row>
    <row r="94" spans="3:61" ht="15" x14ac:dyDescent="0.2">
      <c r="C94" s="240"/>
      <c r="D94" s="377" t="s">
        <v>151</v>
      </c>
      <c r="E94" s="377"/>
      <c r="F94" s="377"/>
      <c r="G94" s="472"/>
      <c r="H94" s="472"/>
      <c r="I94" s="221"/>
      <c r="J94" s="307" t="s">
        <v>154</v>
      </c>
      <c r="K94" s="472"/>
      <c r="L94" s="472"/>
      <c r="M94" s="221"/>
      <c r="N94" s="221"/>
      <c r="O94" s="221"/>
      <c r="P94" s="278"/>
      <c r="U94" s="7">
        <v>18.5</v>
      </c>
      <c r="V94" s="7" t="s">
        <v>31</v>
      </c>
      <c r="X94">
        <v>7</v>
      </c>
      <c r="Y94" s="426" t="s">
        <v>376</v>
      </c>
      <c r="Z94" s="426"/>
      <c r="AA94" s="426"/>
      <c r="AB94">
        <f>Y81</f>
        <v>10.833600000000001</v>
      </c>
      <c r="BB94">
        <v>3</v>
      </c>
      <c r="BC94" s="126" t="s">
        <v>174</v>
      </c>
      <c r="BD94" s="126"/>
      <c r="BE94" s="126"/>
    </row>
    <row r="95" spans="3:61" ht="15" x14ac:dyDescent="0.2">
      <c r="C95" s="240"/>
      <c r="D95" s="377" t="s">
        <v>242</v>
      </c>
      <c r="E95" s="377"/>
      <c r="F95" s="377"/>
      <c r="G95" s="472"/>
      <c r="H95" s="472"/>
      <c r="I95" s="221"/>
      <c r="J95" s="221"/>
      <c r="K95" s="221"/>
      <c r="L95" s="221"/>
      <c r="M95" s="221"/>
      <c r="N95" s="221"/>
      <c r="O95" s="221"/>
      <c r="P95" s="278"/>
      <c r="U95" s="7">
        <v>24.5</v>
      </c>
      <c r="V95" s="7" t="s">
        <v>32</v>
      </c>
      <c r="X95">
        <v>8</v>
      </c>
      <c r="Y95" s="426" t="s">
        <v>370</v>
      </c>
      <c r="Z95" s="426"/>
      <c r="AA95" s="426"/>
      <c r="AB95" s="21" t="e">
        <f>AA177</f>
        <v>#NUM!</v>
      </c>
      <c r="BB95">
        <v>4</v>
      </c>
      <c r="BC95" s="126" t="s">
        <v>175</v>
      </c>
      <c r="BD95" s="126"/>
      <c r="BE95" s="126"/>
      <c r="BH95" s="79" t="str">
        <f>IF(AND(BG86&gt;BH86,BH86=BI86),"Endomorfo","-")</f>
        <v>Endomorfo</v>
      </c>
    </row>
    <row r="96" spans="3:61" ht="15" x14ac:dyDescent="0.2">
      <c r="C96" s="240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78"/>
      <c r="S96" t="str">
        <f>L101</f>
        <v>(informe peso e altura)</v>
      </c>
      <c r="U96" s="7">
        <v>30</v>
      </c>
      <c r="V96" s="7" t="s">
        <v>33</v>
      </c>
      <c r="X96">
        <v>9</v>
      </c>
      <c r="Y96" s="426" t="s">
        <v>386</v>
      </c>
      <c r="Z96" s="426"/>
      <c r="AA96" s="426"/>
      <c r="AB96" s="21" t="e">
        <f>Y52</f>
        <v>#VALUE!</v>
      </c>
      <c r="BB96">
        <v>5</v>
      </c>
      <c r="BC96" s="126" t="s">
        <v>176</v>
      </c>
      <c r="BD96" s="126"/>
      <c r="BE96" s="126"/>
    </row>
    <row r="97" spans="3:61" ht="15" x14ac:dyDescent="0.2">
      <c r="C97" s="240"/>
      <c r="D97" s="486" t="s">
        <v>25</v>
      </c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221"/>
      <c r="P97" s="278"/>
      <c r="U97" s="7">
        <v>35</v>
      </c>
      <c r="V97" s="7" t="s">
        <v>34</v>
      </c>
      <c r="BB97">
        <v>6</v>
      </c>
      <c r="BC97" s="126" t="s">
        <v>177</v>
      </c>
      <c r="BD97" s="126"/>
      <c r="BE97" s="126"/>
    </row>
    <row r="98" spans="3:61" ht="15" x14ac:dyDescent="0.2">
      <c r="C98" s="240"/>
      <c r="D98" s="462" t="s">
        <v>120</v>
      </c>
      <c r="E98" s="462"/>
      <c r="F98" s="251" t="str">
        <f>IF(E75="","-",VLOOKUP($E$75,tbGC69[[nome]:[resultado]],2,FALSE))</f>
        <v>-</v>
      </c>
      <c r="G98" s="221"/>
      <c r="H98" s="462" t="s">
        <v>364</v>
      </c>
      <c r="I98" s="462"/>
      <c r="J98" s="252" t="str">
        <f>IF(F72="","-",IF(L9="feminino",F72*0.209,F72*0.241))</f>
        <v>-</v>
      </c>
      <c r="K98" s="221"/>
      <c r="L98" s="355" t="s">
        <v>366</v>
      </c>
      <c r="M98" s="355"/>
      <c r="N98" s="355"/>
      <c r="O98" s="221"/>
      <c r="P98" s="278"/>
      <c r="U98" s="7"/>
      <c r="V98" s="7"/>
      <c r="BB98">
        <v>7</v>
      </c>
      <c r="BC98" s="126" t="s">
        <v>178</v>
      </c>
      <c r="BD98" s="126"/>
      <c r="BE98" s="126"/>
      <c r="BI98" s="71"/>
    </row>
    <row r="99" spans="3:61" ht="15" x14ac:dyDescent="0.2">
      <c r="C99" s="240"/>
      <c r="D99" s="462" t="s">
        <v>361</v>
      </c>
      <c r="E99" s="462"/>
      <c r="F99" s="252" t="str">
        <f>IF(F72=0,"-",(F72-F100))</f>
        <v>-</v>
      </c>
      <c r="G99" s="221"/>
      <c r="H99" s="462" t="s">
        <v>365</v>
      </c>
      <c r="I99" s="462"/>
      <c r="J99" s="252" t="str">
        <f>IF(J72="","-",3.02*(J72^2*T113*T114*400)^0.712)</f>
        <v>-</v>
      </c>
      <c r="K99" s="221"/>
      <c r="L99" s="499" t="str">
        <f>IF(F98="-","-",AU258)</f>
        <v>-</v>
      </c>
      <c r="M99" s="500"/>
      <c r="N99" s="501"/>
      <c r="O99" s="221"/>
      <c r="P99" s="278"/>
      <c r="U99" s="7">
        <v>40</v>
      </c>
      <c r="V99" s="7" t="s">
        <v>35</v>
      </c>
      <c r="BB99">
        <v>8</v>
      </c>
      <c r="BC99" s="126" t="s">
        <v>179</v>
      </c>
      <c r="BD99" s="126"/>
      <c r="BE99" s="126"/>
    </row>
    <row r="100" spans="3:61" ht="15" x14ac:dyDescent="0.2">
      <c r="C100" s="359" t="s">
        <v>362</v>
      </c>
      <c r="D100" s="360"/>
      <c r="E100" s="361"/>
      <c r="F100" s="252" t="str">
        <f>IF(F72=0,"-",(F72-U107))</f>
        <v>-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78"/>
      <c r="U100" s="7"/>
      <c r="V100" s="7"/>
      <c r="BB100">
        <v>9</v>
      </c>
      <c r="BC100" s="126" t="s">
        <v>180</v>
      </c>
      <c r="BD100" s="126"/>
      <c r="BE100" s="126"/>
    </row>
    <row r="101" spans="3:61" ht="15" x14ac:dyDescent="0.2">
      <c r="C101" s="240"/>
      <c r="D101" s="462" t="s">
        <v>363</v>
      </c>
      <c r="E101" s="462"/>
      <c r="F101" s="252" t="str">
        <f>IF(F72="","-",F72-(F99+J98+J99))</f>
        <v>-</v>
      </c>
      <c r="G101" s="253"/>
      <c r="H101" s="462" t="s">
        <v>26</v>
      </c>
      <c r="I101" s="462"/>
      <c r="J101" s="254" t="str">
        <f>IF(J72="","-",'Avaliação Física 3'!DZ11)</f>
        <v>-</v>
      </c>
      <c r="K101" s="221"/>
      <c r="L101" s="461" t="str">
        <f>IF(J72&gt;0,VLOOKUP(J101,AUX_IMC_Classificação347[],2,TRUE),"(informe peso e altura)")</f>
        <v>(informe peso e altura)</v>
      </c>
      <c r="M101" s="461"/>
      <c r="N101" s="461"/>
      <c r="O101" s="221"/>
      <c r="P101" s="278"/>
      <c r="BB101">
        <v>10</v>
      </c>
      <c r="BC101" s="126" t="s">
        <v>181</v>
      </c>
      <c r="BD101" s="126"/>
      <c r="BE101" s="126"/>
    </row>
    <row r="102" spans="3:61" ht="15" x14ac:dyDescent="0.2">
      <c r="C102" s="240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78"/>
      <c r="T102" t="s">
        <v>276</v>
      </c>
      <c r="U102">
        <f>J72*100</f>
        <v>0</v>
      </c>
      <c r="BB102">
        <v>11</v>
      </c>
      <c r="BC102" s="126" t="s">
        <v>182</v>
      </c>
      <c r="BD102" s="126"/>
      <c r="BE102" s="126"/>
    </row>
    <row r="103" spans="3:61" ht="15" x14ac:dyDescent="0.2">
      <c r="C103" s="240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78"/>
      <c r="BB103">
        <v>12</v>
      </c>
      <c r="BC103" s="126" t="s">
        <v>183</v>
      </c>
      <c r="BD103" s="126"/>
      <c r="BE103" s="126"/>
    </row>
    <row r="104" spans="3:61" ht="15" x14ac:dyDescent="0.2">
      <c r="C104" s="240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78"/>
      <c r="BB104">
        <v>13</v>
      </c>
      <c r="BC104" s="126" t="s">
        <v>184</v>
      </c>
      <c r="BD104" s="126"/>
      <c r="BE104" s="126"/>
    </row>
    <row r="105" spans="3:61" ht="15" x14ac:dyDescent="0.2">
      <c r="C105" s="240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78"/>
    </row>
    <row r="106" spans="3:61" ht="15" x14ac:dyDescent="0.2">
      <c r="C106" s="240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78"/>
      <c r="X106" t="s">
        <v>271</v>
      </c>
      <c r="Y106" t="e">
        <f>1.17136-((LOG10(Y35))*0.06706)</f>
        <v>#NUM!</v>
      </c>
    </row>
    <row r="107" spans="3:61" ht="15" x14ac:dyDescent="0.2">
      <c r="C107" s="240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78"/>
      <c r="U107" s="179" t="e">
        <f>F72*F98%</f>
        <v>#VALUE!</v>
      </c>
    </row>
    <row r="108" spans="3:61" ht="15" x14ac:dyDescent="0.2">
      <c r="C108" s="240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78"/>
      <c r="X108" t="s">
        <v>272</v>
      </c>
      <c r="Y108" t="e">
        <f>1.1665-((LOG10(Y38))*0.07063)</f>
        <v>#NUM!</v>
      </c>
    </row>
    <row r="109" spans="3:61" ht="15" x14ac:dyDescent="0.2">
      <c r="C109" s="240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78"/>
    </row>
    <row r="110" spans="3:61" ht="15" x14ac:dyDescent="0.2">
      <c r="C110" s="240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78"/>
    </row>
    <row r="111" spans="3:61" ht="15" x14ac:dyDescent="0.2">
      <c r="C111" s="240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78"/>
    </row>
    <row r="112" spans="3:61" ht="15" x14ac:dyDescent="0.2">
      <c r="C112" s="240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78"/>
    </row>
    <row r="113" spans="3:28" ht="15" x14ac:dyDescent="0.2">
      <c r="C113" s="240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78"/>
      <c r="S113">
        <f>K94</f>
        <v>0</v>
      </c>
      <c r="T113">
        <f>S113/100</f>
        <v>0</v>
      </c>
    </row>
    <row r="114" spans="3:28" ht="15" x14ac:dyDescent="0.2">
      <c r="C114" s="241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80"/>
      <c r="S114">
        <f>G95</f>
        <v>0</v>
      </c>
      <c r="T114">
        <f>S114/100</f>
        <v>0</v>
      </c>
    </row>
    <row r="115" spans="3:28" ht="15" x14ac:dyDescent="0.2"/>
    <row r="116" spans="3:28" ht="15" x14ac:dyDescent="0.2">
      <c r="C116" s="362" t="s">
        <v>218</v>
      </c>
      <c r="D116" s="362"/>
      <c r="E116" s="362"/>
      <c r="F116" s="362"/>
      <c r="G116" s="362"/>
      <c r="H116" s="362"/>
      <c r="I116" s="362"/>
      <c r="J116" s="362" t="s">
        <v>253</v>
      </c>
      <c r="K116" s="362"/>
      <c r="L116" s="362"/>
      <c r="M116" s="362"/>
      <c r="N116" s="362"/>
      <c r="O116" s="362"/>
      <c r="P116" s="362"/>
      <c r="AB116" t="s">
        <v>240</v>
      </c>
    </row>
    <row r="117" spans="3:28" ht="4.9000000000000004" customHeight="1" x14ac:dyDescent="0.3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</row>
    <row r="118" spans="3:28" ht="15" x14ac:dyDescent="0.2">
      <c r="C118" s="238"/>
      <c r="D118" s="405" t="s">
        <v>220</v>
      </c>
      <c r="E118" s="405"/>
      <c r="F118" s="239" t="str">
        <f>IF(L84="","-",S90)</f>
        <v>-</v>
      </c>
      <c r="G118" s="463" t="str">
        <f>IF(F118&gt;=1.5,"Diferença significativa",IF(F118&lt;=-1.5,"Diferença significativa","Não Significativa"))</f>
        <v>Diferença significativa</v>
      </c>
      <c r="H118" s="464"/>
      <c r="I118" s="233"/>
      <c r="J118" s="358" t="s">
        <v>380</v>
      </c>
      <c r="K118" s="358"/>
      <c r="L118" s="358"/>
      <c r="M118" s="358"/>
      <c r="N118" s="358"/>
      <c r="O118" s="358"/>
      <c r="P118" s="221"/>
      <c r="W118" s="116">
        <v>3</v>
      </c>
      <c r="X118" s="117" t="s">
        <v>233</v>
      </c>
      <c r="Y118" s="118"/>
      <c r="Z118" s="118"/>
      <c r="AB118" s="21" t="e">
        <f>(J119*(170.18/(100*J72))-24.78)/4.31</f>
        <v>#DIV/0!</v>
      </c>
    </row>
    <row r="119" spans="3:28" ht="15" x14ac:dyDescent="0.2">
      <c r="C119" s="240"/>
      <c r="D119" s="406" t="s">
        <v>219</v>
      </c>
      <c r="E119" s="406"/>
      <c r="F119" s="234" t="str">
        <f>IF(L85="","-",S91)</f>
        <v>-</v>
      </c>
      <c r="G119" s="465" t="str">
        <f>IF(F119&gt;=1.5,"Diferença significativa",IF(F119&lt;=-1.5,"Diferença significativa","Não Significativa"))</f>
        <v>Diferença significativa</v>
      </c>
      <c r="H119" s="466"/>
      <c r="I119" s="233"/>
      <c r="J119" s="236">
        <f>J84-(3.1415*F78/10)</f>
        <v>0</v>
      </c>
      <c r="K119" s="235">
        <f t="shared" ref="K119:K121" si="2">IF(G119="Não significativa",0,1)</f>
        <v>1</v>
      </c>
      <c r="L119" s="469" t="str">
        <f>IF(J84=0,"-",IF(J84&gt;0,IF(AB118&gt;3,X118,IF(AB118&gt;2,X119,IF(AB118&gt;1,X120,IF(AB118&gt;-1,X121,IF(AB118&gt;-2,X122,IF(AB118&gt;-3,X123,IF(AB118&lt;-3,X124)))))))))</f>
        <v>-</v>
      </c>
      <c r="M119" s="470"/>
      <c r="N119" s="470"/>
      <c r="O119" s="471"/>
      <c r="P119" s="221"/>
      <c r="T119" s="497" t="s">
        <v>369</v>
      </c>
      <c r="U119" s="497"/>
      <c r="W119" s="116">
        <v>2</v>
      </c>
      <c r="X119" s="117" t="s">
        <v>234</v>
      </c>
      <c r="Y119" s="118"/>
      <c r="Z119" s="118"/>
    </row>
    <row r="120" spans="3:28" ht="15.75" x14ac:dyDescent="0.2">
      <c r="C120" s="240"/>
      <c r="D120" s="406" t="s">
        <v>221</v>
      </c>
      <c r="E120" s="406"/>
      <c r="F120" s="234" t="str">
        <f>IF(L86="","-",S92)</f>
        <v>-</v>
      </c>
      <c r="G120" s="465" t="str">
        <f>IF(F120&gt;=1.5,"Diferença significativa",IF(F120&lt;=-1.5,"Diferença significativa","Não Significativa"))</f>
        <v>Diferença significativa</v>
      </c>
      <c r="H120" s="466"/>
      <c r="I120" s="233"/>
      <c r="J120" s="360" t="s">
        <v>254</v>
      </c>
      <c r="K120" s="360"/>
      <c r="L120" s="360"/>
      <c r="M120" s="360"/>
      <c r="N120" s="360"/>
      <c r="O120" s="360"/>
      <c r="P120" s="360"/>
      <c r="T120">
        <f>IF(L9="Feminino",0.61*(F78+N79)+5.1,0.735*(F78+N79)+1)</f>
        <v>1</v>
      </c>
      <c r="W120" s="116">
        <v>1</v>
      </c>
      <c r="X120" s="117" t="s">
        <v>235</v>
      </c>
      <c r="Y120" s="118"/>
      <c r="Z120" s="118"/>
      <c r="AB120" t="s">
        <v>241</v>
      </c>
    </row>
    <row r="121" spans="3:28" ht="15" x14ac:dyDescent="0.2">
      <c r="C121" s="241"/>
      <c r="D121" s="407" t="s">
        <v>222</v>
      </c>
      <c r="E121" s="407"/>
      <c r="F121" s="242" t="str">
        <f>IF(L87="","-",S93)</f>
        <v>-</v>
      </c>
      <c r="G121" s="467" t="str">
        <f>IF(F121&gt;=1.5,"Diferença significativa",IF(F121&lt;=-1.5,"Diferença significativa","Não Significativa"))</f>
        <v>Diferença significativa</v>
      </c>
      <c r="H121" s="468"/>
      <c r="I121" s="233"/>
      <c r="J121" s="237">
        <f>0.649*((J86-3.1415*(N78/10))^2-(0.3-G95)^2)</f>
        <v>-5.8409999999999997E-2</v>
      </c>
      <c r="K121" s="235">
        <f t="shared" si="2"/>
        <v>1</v>
      </c>
      <c r="L121" s="423" t="str">
        <f>IF(J86=0,"-",IF(J86&gt;0,IF(AB121&gt;3,X118,IF(AB121&gt;2,X119,IF(AB121&gt;1,X120,IF(AB121&gt;-1,X121,IF(AB121&gt;-2,X122,IF(AB121&gt;-3,X123,IF(AB121&lt;-3,X124)))))))))</f>
        <v>-</v>
      </c>
      <c r="M121" s="424"/>
      <c r="N121" s="424"/>
      <c r="O121" s="425"/>
      <c r="P121" s="221"/>
      <c r="W121" s="116">
        <v>0</v>
      </c>
      <c r="X121" s="117" t="s">
        <v>236</v>
      </c>
      <c r="Y121" s="118"/>
      <c r="Z121" s="118"/>
      <c r="AB121" s="21" t="e">
        <f>(J121*(170.18/(100*J72))-1242.6)/210.9</f>
        <v>#DIV/0!</v>
      </c>
    </row>
    <row r="122" spans="3:28" ht="15" x14ac:dyDescent="0.2">
      <c r="W122" s="116">
        <v>-1</v>
      </c>
      <c r="X122" s="117" t="s">
        <v>237</v>
      </c>
      <c r="Y122" s="118"/>
      <c r="Z122" s="118"/>
    </row>
    <row r="123" spans="3:28" ht="14.45" hidden="1" customHeight="1" x14ac:dyDescent="0.2">
      <c r="C123" s="92"/>
      <c r="W123" s="116">
        <v>-2</v>
      </c>
      <c r="X123" s="117" t="s">
        <v>238</v>
      </c>
      <c r="Y123" s="118"/>
      <c r="Z123" s="118"/>
    </row>
    <row r="124" spans="3:28" ht="14.45" hidden="1" customHeight="1" x14ac:dyDescent="0.2">
      <c r="F124" s="314"/>
      <c r="H124" s="314"/>
      <c r="W124" s="116">
        <v>-3</v>
      </c>
      <c r="X124" s="117" t="s">
        <v>239</v>
      </c>
      <c r="Y124" s="118"/>
      <c r="Z124" s="118"/>
    </row>
    <row r="125" spans="3:28" ht="14.45" hidden="1" customHeight="1" x14ac:dyDescent="0.2">
      <c r="D125" s="426"/>
      <c r="E125" s="426"/>
      <c r="F125" s="314"/>
      <c r="H125" s="314"/>
      <c r="J125" s="426"/>
      <c r="K125" s="426"/>
      <c r="M125" s="457"/>
      <c r="N125" s="457"/>
      <c r="S125" s="314"/>
    </row>
    <row r="126" spans="3:28" ht="14.45" hidden="1" customHeight="1" x14ac:dyDescent="0.2">
      <c r="T126" s="426"/>
      <c r="U126" s="426"/>
      <c r="V126" s="426"/>
    </row>
    <row r="127" spans="3:28" ht="14.45" hidden="1" customHeight="1" x14ac:dyDescent="0.2"/>
    <row r="128" spans="3:28" ht="15" hidden="1" customHeight="1" x14ac:dyDescent="0.2">
      <c r="T128" s="310"/>
      <c r="U128" s="310"/>
      <c r="V128" s="310"/>
      <c r="W128" s="119"/>
      <c r="X128" s="119"/>
    </row>
    <row r="129" spans="19:24" ht="15" hidden="1" customHeight="1" x14ac:dyDescent="0.2">
      <c r="T129" s="310"/>
      <c r="U129" s="310"/>
      <c r="V129" s="310"/>
      <c r="W129" s="119"/>
      <c r="X129" s="119"/>
    </row>
    <row r="130" spans="19:24" ht="15" hidden="1" customHeight="1" x14ac:dyDescent="0.2">
      <c r="S130" s="314"/>
      <c r="T130" s="310"/>
      <c r="U130" s="310"/>
      <c r="V130" s="310"/>
      <c r="W130" s="119"/>
      <c r="X130" s="119"/>
    </row>
    <row r="131" spans="19:24" ht="14.45" hidden="1" customHeight="1" x14ac:dyDescent="0.2">
      <c r="T131" s="310"/>
      <c r="U131" s="310"/>
      <c r="V131" s="310"/>
      <c r="W131" s="119"/>
      <c r="X131" s="119"/>
    </row>
    <row r="132" spans="19:24" ht="14.45" hidden="1" customHeight="1" x14ac:dyDescent="0.2">
      <c r="T132" s="310"/>
      <c r="U132" s="310"/>
      <c r="V132" s="310"/>
      <c r="W132" s="119"/>
      <c r="X132" s="119"/>
    </row>
    <row r="133" spans="19:24" ht="14.45" hidden="1" customHeight="1" x14ac:dyDescent="0.2">
      <c r="T133" s="310"/>
      <c r="U133" s="310"/>
      <c r="V133" s="310"/>
      <c r="W133" s="119"/>
      <c r="X133" s="119"/>
    </row>
    <row r="134" spans="19:24" ht="14.45" hidden="1" customHeight="1" x14ac:dyDescent="0.2">
      <c r="S134" s="314"/>
      <c r="T134" s="310"/>
      <c r="U134" s="310"/>
      <c r="V134" s="310"/>
      <c r="W134" s="119"/>
      <c r="X134" s="119"/>
    </row>
    <row r="135" spans="19:24" ht="14.45" hidden="1" customHeight="1" x14ac:dyDescent="0.2">
      <c r="T135" s="310"/>
      <c r="U135" s="310"/>
      <c r="V135" s="310"/>
      <c r="W135" s="119"/>
      <c r="X135" s="119"/>
    </row>
    <row r="136" spans="19:24" ht="14.45" hidden="1" customHeight="1" x14ac:dyDescent="0.2">
      <c r="S136" s="73"/>
      <c r="T136" s="310"/>
      <c r="U136" s="310"/>
      <c r="V136" s="310"/>
      <c r="W136" s="119"/>
      <c r="X136" s="119"/>
    </row>
    <row r="137" spans="19:24" ht="15" hidden="1" customHeight="1" x14ac:dyDescent="0.2">
      <c r="T137" s="310"/>
      <c r="U137" s="310"/>
      <c r="V137" s="310"/>
      <c r="W137" s="119"/>
      <c r="X137" s="119"/>
    </row>
    <row r="138" spans="19:24" ht="15" hidden="1" x14ac:dyDescent="0.2">
      <c r="W138" s="120"/>
      <c r="X138" s="120"/>
    </row>
    <row r="139" spans="19:24" ht="15" hidden="1" x14ac:dyDescent="0.2"/>
    <row r="140" spans="19:24" ht="15" hidden="1" x14ac:dyDescent="0.2"/>
    <row r="141" spans="19:24" ht="15" hidden="1" x14ac:dyDescent="0.2"/>
    <row r="142" spans="19:24" ht="15" hidden="1" x14ac:dyDescent="0.2"/>
    <row r="143" spans="19:24" ht="15" hidden="1" x14ac:dyDescent="0.2"/>
    <row r="144" spans="19:24" ht="15" hidden="1" x14ac:dyDescent="0.2"/>
    <row r="145" spans="3:28" ht="15" hidden="1" x14ac:dyDescent="0.2"/>
    <row r="146" spans="3:28" ht="15" hidden="1" x14ac:dyDescent="0.2"/>
    <row r="147" spans="3:28" ht="6" hidden="1" customHeight="1" x14ac:dyDescent="0.2"/>
    <row r="148" spans="3:28" ht="14.45" customHeight="1" x14ac:dyDescent="0.3">
      <c r="C148" s="375" t="s">
        <v>211</v>
      </c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X148" s="314" t="s">
        <v>273</v>
      </c>
      <c r="Y148" s="126" t="s">
        <v>274</v>
      </c>
      <c r="Z148" t="s">
        <v>138</v>
      </c>
      <c r="AA148" s="126"/>
    </row>
    <row r="149" spans="3:28" ht="14.45" customHeight="1" x14ac:dyDescent="0.2">
      <c r="C149" s="240"/>
      <c r="D149" s="221"/>
      <c r="E149" s="221"/>
      <c r="F149" s="221"/>
      <c r="G149" s="221"/>
      <c r="H149" s="221"/>
      <c r="I149" s="278"/>
      <c r="J149" s="484" t="s">
        <v>252</v>
      </c>
      <c r="K149" s="485"/>
      <c r="L149" s="485"/>
      <c r="M149" s="485"/>
      <c r="N149" s="485"/>
      <c r="O149" s="485"/>
      <c r="P149" s="485"/>
      <c r="X149">
        <v>1</v>
      </c>
      <c r="Y149" s="126" t="s">
        <v>258</v>
      </c>
      <c r="Z149" s="21">
        <f t="shared" ref="Z149:Z156" si="3">AB88</f>
        <v>5.7830000000000004</v>
      </c>
      <c r="AA149" s="126"/>
    </row>
    <row r="150" spans="3:28" ht="15" x14ac:dyDescent="0.2">
      <c r="C150" s="240"/>
      <c r="D150" s="221"/>
      <c r="E150" s="221"/>
      <c r="F150" s="355" t="str">
        <f>IF($G$95="","",'Avaliação Física 3'!AO30)</f>
        <v/>
      </c>
      <c r="G150" s="355"/>
      <c r="H150" s="355"/>
      <c r="I150" s="278"/>
      <c r="J150" s="484"/>
      <c r="K150" s="485"/>
      <c r="L150" s="485"/>
      <c r="M150" s="485"/>
      <c r="N150" s="485"/>
      <c r="O150" s="485"/>
      <c r="P150" s="485"/>
      <c r="S150" s="126"/>
      <c r="T150" s="126" t="s">
        <v>382</v>
      </c>
      <c r="X150">
        <v>2</v>
      </c>
      <c r="Y150" s="126" t="s">
        <v>372</v>
      </c>
      <c r="Z150" s="21" t="e">
        <f t="shared" si="3"/>
        <v>#VALUE!</v>
      </c>
      <c r="AA150" s="126"/>
    </row>
    <row r="151" spans="3:28" ht="15" x14ac:dyDescent="0.2">
      <c r="C151" s="240"/>
      <c r="D151" s="221"/>
      <c r="E151" s="221"/>
      <c r="F151" s="355" t="str">
        <f>IF($G$95="","",'Avaliação Física 3'!AO31)</f>
        <v/>
      </c>
      <c r="G151" s="355"/>
      <c r="H151" s="355"/>
      <c r="I151" s="278"/>
      <c r="J151" s="484"/>
      <c r="K151" s="485"/>
      <c r="L151" s="485"/>
      <c r="M151" s="485"/>
      <c r="N151" s="485"/>
      <c r="O151" s="485"/>
      <c r="P151" s="485"/>
      <c r="S151" s="75" t="s">
        <v>361</v>
      </c>
      <c r="T151" s="213" t="str">
        <f>F99</f>
        <v>-</v>
      </c>
      <c r="X151">
        <v>3</v>
      </c>
      <c r="Y151" s="126" t="s">
        <v>373</v>
      </c>
      <c r="Z151" s="21" t="e">
        <f t="shared" si="3"/>
        <v>#VALUE!</v>
      </c>
      <c r="AA151" s="126"/>
      <c r="AB151" t="e">
        <f>VLOOKUP($E$75,tbGC69[nome],1,FALSE)</f>
        <v>#N/A</v>
      </c>
    </row>
    <row r="152" spans="3:28" ht="15" x14ac:dyDescent="0.2">
      <c r="C152" s="240"/>
      <c r="D152" s="221"/>
      <c r="E152" s="221"/>
      <c r="F152" s="355" t="str">
        <f>IF($G$95="","",'Avaliação Física 3'!AO32)</f>
        <v/>
      </c>
      <c r="G152" s="355"/>
      <c r="H152" s="355"/>
      <c r="I152" s="278"/>
      <c r="J152" s="484"/>
      <c r="K152" s="485"/>
      <c r="L152" s="485"/>
      <c r="M152" s="485"/>
      <c r="N152" s="485"/>
      <c r="O152" s="485"/>
      <c r="P152" s="485"/>
      <c r="S152" s="75" t="s">
        <v>363</v>
      </c>
      <c r="T152" s="213" t="str">
        <f t="shared" ref="T152" si="4">F101</f>
        <v>-</v>
      </c>
      <c r="X152">
        <v>4</v>
      </c>
      <c r="Y152" s="126" t="s">
        <v>265</v>
      </c>
      <c r="Z152" s="21" t="e">
        <f t="shared" si="3"/>
        <v>#NUM!</v>
      </c>
      <c r="AA152" s="126"/>
    </row>
    <row r="153" spans="3:28" ht="15" x14ac:dyDescent="0.2">
      <c r="C153" s="240"/>
      <c r="D153" s="221"/>
      <c r="E153" s="221"/>
      <c r="F153" s="355" t="str">
        <f>IF($G$95="","",'Avaliação Física 3'!AO33)</f>
        <v/>
      </c>
      <c r="G153" s="355"/>
      <c r="H153" s="355"/>
      <c r="I153" s="278"/>
      <c r="J153" s="484"/>
      <c r="K153" s="485"/>
      <c r="L153" s="485"/>
      <c r="M153" s="485"/>
      <c r="N153" s="485"/>
      <c r="O153" s="485"/>
      <c r="P153" s="485"/>
      <c r="S153" s="75" t="s">
        <v>364</v>
      </c>
      <c r="T153" s="213" t="str">
        <f>J98</f>
        <v>-</v>
      </c>
      <c r="X153">
        <v>5</v>
      </c>
      <c r="Y153" s="126" t="s">
        <v>374</v>
      </c>
      <c r="Z153" s="21">
        <f t="shared" si="3"/>
        <v>1</v>
      </c>
    </row>
    <row r="154" spans="3:28" ht="15" x14ac:dyDescent="0.2">
      <c r="C154" s="240"/>
      <c r="D154" s="221"/>
      <c r="E154" s="221"/>
      <c r="F154" s="355" t="str">
        <f>IF($G$95="","",'Avaliação Física 3'!AO34)</f>
        <v/>
      </c>
      <c r="G154" s="355"/>
      <c r="H154" s="355"/>
      <c r="I154" s="278"/>
      <c r="J154" s="484"/>
      <c r="K154" s="485"/>
      <c r="L154" s="485"/>
      <c r="M154" s="485"/>
      <c r="N154" s="485"/>
      <c r="O154" s="485"/>
      <c r="P154" s="485"/>
      <c r="S154" s="75" t="s">
        <v>365</v>
      </c>
      <c r="T154" s="213" t="str">
        <f>J99</f>
        <v>-</v>
      </c>
      <c r="X154">
        <v>6</v>
      </c>
      <c r="Y154" s="126" t="s">
        <v>375</v>
      </c>
      <c r="Z154" s="21" t="e">
        <f t="shared" si="3"/>
        <v>#VALUE!</v>
      </c>
    </row>
    <row r="155" spans="3:28" ht="15" x14ac:dyDescent="0.2">
      <c r="C155" s="240"/>
      <c r="D155" s="221"/>
      <c r="E155" s="221"/>
      <c r="F155" s="355" t="str">
        <f>IF($G$95="","",'Avaliação Física 3'!AO35)</f>
        <v/>
      </c>
      <c r="G155" s="355"/>
      <c r="H155" s="355"/>
      <c r="I155" s="278"/>
      <c r="J155" s="484"/>
      <c r="K155" s="485"/>
      <c r="L155" s="485"/>
      <c r="M155" s="485"/>
      <c r="N155" s="485"/>
      <c r="O155" s="485"/>
      <c r="P155" s="485"/>
      <c r="X155">
        <v>7</v>
      </c>
      <c r="Y155" s="126" t="s">
        <v>376</v>
      </c>
      <c r="Z155" s="21">
        <f t="shared" si="3"/>
        <v>10.833600000000001</v>
      </c>
    </row>
    <row r="156" spans="3:28" ht="15" x14ac:dyDescent="0.2">
      <c r="C156" s="240"/>
      <c r="D156" s="221"/>
      <c r="E156" s="221"/>
      <c r="F156" s="355" t="str">
        <f>IF($G$95="","",'Avaliação Física 3'!AO36)</f>
        <v/>
      </c>
      <c r="G156" s="355"/>
      <c r="H156" s="355"/>
      <c r="I156" s="278"/>
      <c r="J156" s="484"/>
      <c r="K156" s="485"/>
      <c r="L156" s="485"/>
      <c r="M156" s="485"/>
      <c r="N156" s="485"/>
      <c r="O156" s="485"/>
      <c r="P156" s="485"/>
      <c r="X156">
        <v>8</v>
      </c>
      <c r="Y156" s="126" t="s">
        <v>384</v>
      </c>
      <c r="Z156" s="21" t="e">
        <f t="shared" si="3"/>
        <v>#NUM!</v>
      </c>
      <c r="AB156" s="21" t="e">
        <f>VLOOKUP($E$75,tbGC69[[nome]:[resultado]],2,FALSE)</f>
        <v>#N/A</v>
      </c>
    </row>
    <row r="157" spans="3:28" ht="15" x14ac:dyDescent="0.2">
      <c r="C157" s="240"/>
      <c r="D157" s="221"/>
      <c r="E157" s="221"/>
      <c r="F157" s="355" t="str">
        <f>IF($G$95="","",'Avaliação Física 3'!AO37)</f>
        <v/>
      </c>
      <c r="G157" s="355"/>
      <c r="H157" s="355"/>
      <c r="I157" s="278"/>
      <c r="J157" s="484"/>
      <c r="K157" s="485"/>
      <c r="L157" s="485"/>
      <c r="M157" s="485"/>
      <c r="N157" s="485"/>
      <c r="O157" s="485"/>
      <c r="P157" s="485"/>
      <c r="T157" t="s">
        <v>383</v>
      </c>
      <c r="X157">
        <v>9</v>
      </c>
      <c r="Y157" s="126" t="s">
        <v>387</v>
      </c>
      <c r="Z157" s="21" t="e">
        <f>AB96</f>
        <v>#VALUE!</v>
      </c>
    </row>
    <row r="158" spans="3:28" ht="15" x14ac:dyDescent="0.2">
      <c r="C158" s="240"/>
      <c r="D158" s="221"/>
      <c r="E158" s="221"/>
      <c r="F158" s="355" t="str">
        <f>IF($G$95="","",'Avaliação Física 3'!AO38)</f>
        <v/>
      </c>
      <c r="G158" s="355"/>
      <c r="H158" s="355"/>
      <c r="I158" s="278"/>
      <c r="J158" s="484"/>
      <c r="K158" s="485"/>
      <c r="L158" s="485"/>
      <c r="M158" s="485"/>
      <c r="N158" s="485"/>
      <c r="O158" s="485"/>
      <c r="P158" s="485"/>
      <c r="S158" s="75" t="s">
        <v>381</v>
      </c>
      <c r="T158" s="266">
        <f>F72</f>
        <v>0</v>
      </c>
    </row>
    <row r="159" spans="3:28" ht="15" x14ac:dyDescent="0.2">
      <c r="C159" s="240"/>
      <c r="D159" s="221"/>
      <c r="E159" s="221"/>
      <c r="F159" s="355" t="str">
        <f>IF($G$95="","",'Avaliação Física 3'!AO39)</f>
        <v/>
      </c>
      <c r="G159" s="355"/>
      <c r="H159" s="355"/>
      <c r="I159" s="278"/>
      <c r="J159" s="484"/>
      <c r="K159" s="485"/>
      <c r="L159" s="485"/>
      <c r="M159" s="485"/>
      <c r="N159" s="485"/>
      <c r="O159" s="485"/>
      <c r="P159" s="485"/>
      <c r="S159" t="s">
        <v>120</v>
      </c>
      <c r="T159" s="265" t="str">
        <f>F98</f>
        <v>-</v>
      </c>
    </row>
    <row r="160" spans="3:28" ht="15" x14ac:dyDescent="0.2">
      <c r="C160" s="240"/>
      <c r="D160" s="221"/>
      <c r="E160" s="221"/>
      <c r="F160" s="355" t="str">
        <f>IF($G$95="","",'Avaliação Física 3'!AO40)</f>
        <v/>
      </c>
      <c r="G160" s="355"/>
      <c r="H160" s="355"/>
      <c r="I160" s="278"/>
      <c r="J160" s="484"/>
      <c r="K160" s="485"/>
      <c r="L160" s="485"/>
      <c r="M160" s="485"/>
      <c r="N160" s="485"/>
      <c r="O160" s="485"/>
      <c r="P160" s="485"/>
      <c r="S160" s="75" t="s">
        <v>362</v>
      </c>
      <c r="T160" s="266" t="str">
        <f>F100</f>
        <v>-</v>
      </c>
      <c r="AB160" t="e">
        <f>VLOOKUP($E$75,tbGC69[[nome]:[resultado]],2,FALSE)</f>
        <v>#N/A</v>
      </c>
    </row>
    <row r="161" spans="3:153" ht="15" x14ac:dyDescent="0.2">
      <c r="C161" s="240"/>
      <c r="D161" s="221"/>
      <c r="E161" s="221"/>
      <c r="F161" s="355" t="str">
        <f>IF($G$95="","",'Avaliação Física 3'!AO41)</f>
        <v/>
      </c>
      <c r="G161" s="355"/>
      <c r="H161" s="355"/>
      <c r="I161" s="278"/>
      <c r="J161" s="484"/>
      <c r="K161" s="485"/>
      <c r="L161" s="485"/>
      <c r="M161" s="485"/>
      <c r="N161" s="485"/>
      <c r="O161" s="485"/>
      <c r="P161" s="485"/>
    </row>
    <row r="162" spans="3:153" ht="15" x14ac:dyDescent="0.2">
      <c r="C162" s="240"/>
      <c r="D162" s="221"/>
      <c r="E162" s="221"/>
      <c r="F162" s="355" t="str">
        <f>IF($G$95="","",'Avaliação Física 3'!AO42)</f>
        <v/>
      </c>
      <c r="G162" s="355"/>
      <c r="H162" s="355"/>
      <c r="I162" s="278"/>
      <c r="J162" s="484"/>
      <c r="K162" s="485"/>
      <c r="L162" s="485"/>
      <c r="M162" s="485"/>
      <c r="N162" s="485"/>
      <c r="O162" s="485"/>
      <c r="P162" s="485"/>
    </row>
    <row r="163" spans="3:153" ht="15" x14ac:dyDescent="0.2">
      <c r="C163" s="241"/>
      <c r="D163" s="279"/>
      <c r="E163" s="279"/>
      <c r="F163" s="279"/>
      <c r="G163" s="279"/>
      <c r="H163" s="279"/>
      <c r="I163" s="280"/>
      <c r="J163" s="484"/>
      <c r="K163" s="485"/>
      <c r="L163" s="485"/>
      <c r="M163" s="485"/>
      <c r="N163" s="485"/>
      <c r="O163" s="485"/>
      <c r="P163" s="485"/>
      <c r="W163" s="214" t="s">
        <v>369</v>
      </c>
    </row>
    <row r="164" spans="3:153" ht="14.45" hidden="1" customHeight="1" x14ac:dyDescent="0.2">
      <c r="C164" s="55"/>
      <c r="D164" s="56"/>
      <c r="E164" s="56"/>
      <c r="F164" s="56"/>
      <c r="G164" s="56"/>
      <c r="H164" s="56"/>
      <c r="I164" s="57"/>
      <c r="J164" s="105"/>
      <c r="K164" s="105"/>
      <c r="L164" s="105"/>
      <c r="M164" s="105"/>
      <c r="N164" s="105"/>
      <c r="O164" s="105"/>
      <c r="P164" s="105"/>
      <c r="Z164" t="s">
        <v>371</v>
      </c>
    </row>
    <row r="165" spans="3:153" ht="4.1500000000000004" customHeight="1" x14ac:dyDescent="0.2">
      <c r="J165" s="105"/>
      <c r="K165" s="105"/>
      <c r="L165" s="105"/>
      <c r="M165" s="105"/>
      <c r="N165" s="105"/>
      <c r="O165" s="105"/>
      <c r="P165" s="105"/>
    </row>
    <row r="166" spans="3:153" ht="4.1500000000000004" hidden="1" customHeight="1" x14ac:dyDescent="0.2">
      <c r="J166" s="105"/>
      <c r="K166" s="105"/>
      <c r="L166" s="105"/>
      <c r="M166" s="105"/>
      <c r="N166" s="105"/>
      <c r="O166" s="105"/>
      <c r="P166" s="105"/>
    </row>
    <row r="167" spans="3:153" ht="4.1500000000000004" hidden="1" customHeight="1" x14ac:dyDescent="0.2">
      <c r="J167" s="105"/>
      <c r="K167" s="105"/>
      <c r="L167" s="105"/>
      <c r="M167" s="105"/>
      <c r="N167" s="105"/>
      <c r="O167" s="105"/>
      <c r="P167" s="105"/>
      <c r="Z167" t="s">
        <v>371</v>
      </c>
    </row>
    <row r="168" spans="3:153" ht="15" x14ac:dyDescent="0.2">
      <c r="C168" s="362" t="s">
        <v>204</v>
      </c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W168">
        <f>IF(L9="Feminino",1.33*(F78+F77)-0.13*(F78+F77)^2-2.5,0.735*(F78+N79)+1)</f>
        <v>1</v>
      </c>
    </row>
    <row r="169" spans="3:153" ht="6" customHeight="1" x14ac:dyDescent="0.3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Z169" s="21">
        <f>((4.95/W168)-4.5)*100</f>
        <v>45.000000000000014</v>
      </c>
    </row>
    <row r="170" spans="3:153" ht="15" x14ac:dyDescent="0.2">
      <c r="C170" s="238"/>
      <c r="D170" s="357" t="s">
        <v>125</v>
      </c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02"/>
    </row>
    <row r="171" spans="3:153" ht="15" x14ac:dyDescent="0.2">
      <c r="C171" s="240"/>
      <c r="D171" s="221" t="s">
        <v>106</v>
      </c>
      <c r="E171" s="306"/>
      <c r="F171" s="221"/>
      <c r="G171" s="306"/>
      <c r="H171" s="221"/>
      <c r="I171" s="306"/>
      <c r="J171" s="221"/>
      <c r="K171" s="354" t="s">
        <v>57</v>
      </c>
      <c r="L171" s="354"/>
      <c r="M171" s="262"/>
      <c r="N171" s="354" t="s">
        <v>58</v>
      </c>
      <c r="O171" s="354"/>
      <c r="P171" s="278"/>
    </row>
    <row r="172" spans="3:153" s="5" customFormat="1" ht="7.15" customHeight="1" x14ac:dyDescent="0.2">
      <c r="C172" s="240"/>
      <c r="D172" s="221"/>
      <c r="E172" s="306"/>
      <c r="F172" s="221"/>
      <c r="G172" s="306"/>
      <c r="H172" s="221"/>
      <c r="I172" s="306"/>
      <c r="J172" s="221"/>
      <c r="K172" s="221"/>
      <c r="L172" s="221"/>
      <c r="M172" s="221"/>
      <c r="N172" s="221"/>
      <c r="O172" s="221"/>
      <c r="P172" s="278"/>
      <c r="X172"/>
      <c r="Y172"/>
      <c r="Z172"/>
      <c r="AE172" s="7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 s="79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 s="79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 s="79"/>
    </row>
    <row r="173" spans="3:153" ht="15" x14ac:dyDescent="0.2">
      <c r="C173" s="240"/>
      <c r="D173" s="221" t="s">
        <v>103</v>
      </c>
      <c r="E173" s="306"/>
      <c r="F173" s="221"/>
      <c r="G173" s="306"/>
      <c r="H173" s="221"/>
      <c r="I173" s="306"/>
      <c r="J173" s="221"/>
      <c r="K173" s="221"/>
      <c r="L173" s="221"/>
      <c r="M173" s="221"/>
      <c r="N173" s="221"/>
      <c r="O173" s="221"/>
      <c r="P173" s="278"/>
      <c r="Z173" s="5"/>
    </row>
    <row r="174" spans="3:153" s="5" customFormat="1" ht="7.15" customHeight="1" x14ac:dyDescent="0.2">
      <c r="C174" s="240"/>
      <c r="D174" s="221"/>
      <c r="E174" s="306"/>
      <c r="F174" s="221"/>
      <c r="G174" s="306"/>
      <c r="H174" s="221"/>
      <c r="I174" s="306"/>
      <c r="J174" s="221"/>
      <c r="K174" s="221"/>
      <c r="L174" s="221"/>
      <c r="M174" s="221"/>
      <c r="N174" s="221"/>
      <c r="O174" s="221"/>
      <c r="P174" s="278"/>
      <c r="X174"/>
      <c r="Y174"/>
      <c r="Z174"/>
      <c r="AE174" s="79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 s="79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 s="79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 s="79"/>
    </row>
    <row r="175" spans="3:153" ht="15" x14ac:dyDescent="0.2">
      <c r="C175" s="240"/>
      <c r="D175" s="221" t="s">
        <v>229</v>
      </c>
      <c r="E175" s="306"/>
      <c r="F175" s="221"/>
      <c r="G175" s="306"/>
      <c r="H175" s="221"/>
      <c r="I175" s="306"/>
      <c r="J175" s="221"/>
      <c r="K175" s="221"/>
      <c r="L175" s="221"/>
      <c r="M175" s="221"/>
      <c r="N175" s="221"/>
      <c r="O175" s="221"/>
      <c r="P175" s="278"/>
      <c r="W175" s="214" t="s">
        <v>370</v>
      </c>
      <c r="AA175" t="s">
        <v>371</v>
      </c>
    </row>
    <row r="176" spans="3:153" s="5" customFormat="1" ht="7.15" customHeight="1" x14ac:dyDescent="0.2">
      <c r="C176" s="240"/>
      <c r="D176" s="221"/>
      <c r="E176" s="306"/>
      <c r="F176" s="221"/>
      <c r="G176" s="306"/>
      <c r="H176" s="221"/>
      <c r="I176" s="306"/>
      <c r="J176" s="221"/>
      <c r="K176" s="221"/>
      <c r="L176" s="221"/>
      <c r="M176" s="221"/>
      <c r="N176" s="221"/>
      <c r="O176" s="221"/>
      <c r="P176" s="278"/>
      <c r="AE176" s="7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 s="79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 s="79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 s="79"/>
    </row>
    <row r="177" spans="1:153" ht="15" x14ac:dyDescent="0.2">
      <c r="C177" s="240"/>
      <c r="D177" s="221" t="s">
        <v>105</v>
      </c>
      <c r="E177" s="306"/>
      <c r="F177" s="221"/>
      <c r="G177" s="306"/>
      <c r="H177" s="221"/>
      <c r="I177" s="306"/>
      <c r="J177" s="221"/>
      <c r="K177" s="221"/>
      <c r="L177" s="221"/>
      <c r="M177" s="221"/>
      <c r="N177" s="221"/>
      <c r="O177" s="221"/>
      <c r="P177" s="278"/>
      <c r="W177" s="215" t="e">
        <f>IF(L9="Feminino",1.1567-0.0717*LOG10(F78+F79+F77+J79),1.1765 - 0.0744*LOG10(F78+F79+F77+J79))</f>
        <v>#NUM!</v>
      </c>
      <c r="AA177" s="21" t="e">
        <f>((4.95/W177)-4.5)*100</f>
        <v>#NUM!</v>
      </c>
    </row>
    <row r="178" spans="1:153" s="5" customFormat="1" ht="7.15" customHeight="1" x14ac:dyDescent="0.2">
      <c r="C178" s="240"/>
      <c r="D178" s="221"/>
      <c r="E178" s="306"/>
      <c r="F178" s="221"/>
      <c r="G178" s="306"/>
      <c r="H178" s="221"/>
      <c r="I178" s="306"/>
      <c r="J178" s="221"/>
      <c r="K178" s="221"/>
      <c r="L178" s="221"/>
      <c r="M178" s="221"/>
      <c r="N178" s="221"/>
      <c r="O178" s="221"/>
      <c r="P178" s="278"/>
      <c r="AE178" s="79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 s="79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 s="79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 s="79"/>
    </row>
    <row r="179" spans="1:153" ht="15" x14ac:dyDescent="0.2">
      <c r="C179" s="240"/>
      <c r="D179" s="221" t="s">
        <v>104</v>
      </c>
      <c r="E179" s="306"/>
      <c r="F179" s="221"/>
      <c r="G179" s="306"/>
      <c r="H179" s="221"/>
      <c r="I179" s="306"/>
      <c r="J179" s="221"/>
      <c r="K179" s="221"/>
      <c r="L179" s="221"/>
      <c r="M179" s="221"/>
      <c r="N179" s="221"/>
      <c r="O179" s="221"/>
      <c r="P179" s="278"/>
    </row>
    <row r="180" spans="1:153" s="5" customFormat="1" ht="7.15" customHeight="1" x14ac:dyDescent="0.2">
      <c r="C180" s="240"/>
      <c r="D180" s="221"/>
      <c r="E180" s="306"/>
      <c r="F180" s="221"/>
      <c r="G180" s="306"/>
      <c r="H180" s="221"/>
      <c r="I180" s="306"/>
      <c r="J180" s="221"/>
      <c r="K180" s="221"/>
      <c r="L180" s="221"/>
      <c r="M180" s="221"/>
      <c r="N180" s="221"/>
      <c r="O180" s="221"/>
      <c r="P180" s="278"/>
      <c r="AE180" s="79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 s="79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 s="79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 s="79"/>
    </row>
    <row r="181" spans="1:153" ht="15" x14ac:dyDescent="0.2">
      <c r="C181" s="240"/>
      <c r="D181" s="221" t="s">
        <v>52</v>
      </c>
      <c r="E181" s="306"/>
      <c r="F181" s="221"/>
      <c r="G181" s="306"/>
      <c r="H181" s="221"/>
      <c r="I181" s="306"/>
      <c r="J181" s="221"/>
      <c r="K181" s="221"/>
      <c r="L181" s="221"/>
      <c r="M181" s="221"/>
      <c r="N181" s="221"/>
      <c r="O181" s="221"/>
      <c r="P181" s="278"/>
      <c r="X181" s="215"/>
    </row>
    <row r="182" spans="1:153" s="5" customFormat="1" ht="7.15" customHeight="1" x14ac:dyDescent="0.2">
      <c r="C182" s="240"/>
      <c r="D182" s="221"/>
      <c r="E182" s="306"/>
      <c r="F182" s="221"/>
      <c r="G182" s="306"/>
      <c r="H182" s="221"/>
      <c r="I182" s="306"/>
      <c r="J182" s="221"/>
      <c r="K182" s="221"/>
      <c r="L182" s="221"/>
      <c r="M182" s="221"/>
      <c r="N182" s="221"/>
      <c r="O182" s="221"/>
      <c r="P182" s="278"/>
      <c r="AE182" s="7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 s="79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 s="79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 s="79"/>
    </row>
    <row r="183" spans="1:153" ht="15" x14ac:dyDescent="0.2">
      <c r="C183" s="240"/>
      <c r="D183" s="221" t="s">
        <v>107</v>
      </c>
      <c r="E183" s="306"/>
      <c r="F183" s="221"/>
      <c r="G183" s="306"/>
      <c r="H183" s="221"/>
      <c r="I183" s="306"/>
      <c r="J183" s="221"/>
      <c r="K183" s="221"/>
      <c r="L183" s="221"/>
      <c r="M183" s="221"/>
      <c r="N183" s="221"/>
      <c r="O183" s="221"/>
      <c r="P183" s="278"/>
    </row>
    <row r="184" spans="1:153" ht="7.15" customHeight="1" x14ac:dyDescent="0.2">
      <c r="C184" s="240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78"/>
      <c r="X184" s="5"/>
      <c r="Y184" s="5"/>
      <c r="Z184" s="5"/>
    </row>
    <row r="185" spans="1:153" ht="15" x14ac:dyDescent="0.2">
      <c r="C185" s="240"/>
      <c r="D185" s="221" t="s">
        <v>110</v>
      </c>
      <c r="E185" s="306"/>
      <c r="F185" s="221"/>
      <c r="G185" s="306"/>
      <c r="H185" s="221"/>
      <c r="I185" s="306"/>
      <c r="J185" s="221"/>
      <c r="K185" s="221"/>
      <c r="L185" s="221"/>
      <c r="M185" s="221"/>
      <c r="N185" s="221"/>
      <c r="O185" s="221"/>
      <c r="P185" s="278"/>
    </row>
    <row r="186" spans="1:153" ht="15" x14ac:dyDescent="0.2">
      <c r="C186" s="240"/>
      <c r="D186" s="221"/>
      <c r="E186" s="306"/>
      <c r="F186" s="221"/>
      <c r="G186" s="306"/>
      <c r="H186" s="221"/>
      <c r="I186" s="306"/>
      <c r="J186" s="221"/>
      <c r="K186" s="221"/>
      <c r="L186" s="221"/>
      <c r="M186" s="221"/>
      <c r="N186" s="221"/>
      <c r="O186" s="221"/>
      <c r="P186" s="278"/>
      <c r="X186" s="5"/>
      <c r="Y186" s="5"/>
      <c r="Z186" s="5"/>
    </row>
    <row r="187" spans="1:153" s="5" customFormat="1" ht="11.45" customHeight="1" x14ac:dyDescent="0.2">
      <c r="C187" s="240"/>
      <c r="D187" s="221"/>
      <c r="E187" s="306"/>
      <c r="F187" s="221"/>
      <c r="G187" s="306"/>
      <c r="H187" s="221"/>
      <c r="I187" s="306"/>
      <c r="J187" s="221"/>
      <c r="K187" s="221"/>
      <c r="L187" s="221"/>
      <c r="M187" s="221"/>
      <c r="N187" s="221"/>
      <c r="O187" s="221"/>
      <c r="P187" s="278"/>
      <c r="X187"/>
      <c r="Y187"/>
      <c r="Z187"/>
      <c r="AE187" s="79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 s="79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 s="79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s="79"/>
    </row>
    <row r="188" spans="1:153" ht="15" x14ac:dyDescent="0.2">
      <c r="C188" s="240"/>
      <c r="D188" s="356" t="s">
        <v>124</v>
      </c>
      <c r="E188" s="356"/>
      <c r="F188" s="356"/>
      <c r="G188" s="356"/>
      <c r="H188" s="356"/>
      <c r="I188" s="261"/>
      <c r="J188" s="356" t="s">
        <v>123</v>
      </c>
      <c r="K188" s="356"/>
      <c r="L188" s="356"/>
      <c r="M188" s="356"/>
      <c r="N188" s="356"/>
      <c r="O188" s="356"/>
      <c r="P188" s="303"/>
    </row>
    <row r="189" spans="1:153" ht="15" x14ac:dyDescent="0.2">
      <c r="A189" s="227"/>
      <c r="B189" s="227"/>
      <c r="C189" s="240"/>
      <c r="D189" s="221" t="s">
        <v>50</v>
      </c>
      <c r="E189" s="306"/>
      <c r="F189" s="221"/>
      <c r="G189" s="306"/>
      <c r="H189" s="221"/>
      <c r="I189" s="306"/>
      <c r="J189" s="221" t="s">
        <v>379</v>
      </c>
      <c r="K189" s="306"/>
      <c r="L189" s="221"/>
      <c r="M189" s="221"/>
      <c r="N189" s="355"/>
      <c r="O189" s="355"/>
      <c r="P189" s="278"/>
    </row>
    <row r="190" spans="1:153" s="5" customFormat="1" ht="14.45" customHeight="1" x14ac:dyDescent="0.2">
      <c r="A190" s="227"/>
      <c r="B190" s="227"/>
      <c r="C190" s="240"/>
      <c r="D190" s="221"/>
      <c r="E190" s="306"/>
      <c r="F190" s="221"/>
      <c r="G190" s="306"/>
      <c r="H190" s="221"/>
      <c r="I190" s="306"/>
      <c r="J190" s="221"/>
      <c r="K190" s="306"/>
      <c r="L190" s="221"/>
      <c r="M190" s="221"/>
      <c r="N190" s="221"/>
      <c r="O190" s="221"/>
      <c r="P190" s="278"/>
      <c r="X190"/>
      <c r="Y190"/>
      <c r="Z190"/>
      <c r="AE190" s="79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 s="79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 s="79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 s="79"/>
    </row>
    <row r="191" spans="1:153" ht="15" x14ac:dyDescent="0.2">
      <c r="A191" s="227"/>
      <c r="B191" s="227"/>
      <c r="C191" s="240"/>
      <c r="D191" s="221"/>
      <c r="E191" s="306"/>
      <c r="F191" s="221"/>
      <c r="G191" s="306"/>
      <c r="H191" s="221"/>
      <c r="I191" s="306"/>
      <c r="J191" s="221"/>
      <c r="K191" s="306"/>
      <c r="L191" s="221"/>
      <c r="M191" s="221"/>
      <c r="N191" s="221"/>
      <c r="O191" s="221"/>
      <c r="P191" s="278"/>
      <c r="X191" s="5"/>
      <c r="Y191" s="5"/>
      <c r="Z191" s="5"/>
    </row>
    <row r="192" spans="1:153" s="5" customFormat="1" ht="7.15" customHeight="1" x14ac:dyDescent="0.2">
      <c r="A192" s="227"/>
      <c r="B192" s="227"/>
      <c r="C192" s="240"/>
      <c r="D192" s="221"/>
      <c r="E192" s="306"/>
      <c r="F192" s="221"/>
      <c r="G192" s="306"/>
      <c r="H192" s="221"/>
      <c r="I192" s="306"/>
      <c r="J192" s="221"/>
      <c r="K192" s="221"/>
      <c r="L192" s="221"/>
      <c r="M192" s="221"/>
      <c r="N192" s="221"/>
      <c r="O192" s="221"/>
      <c r="P192" s="278"/>
      <c r="X192"/>
      <c r="Y192"/>
      <c r="Z192"/>
      <c r="AE192" s="79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 s="79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 s="79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s="79"/>
    </row>
    <row r="193" spans="1:153" ht="15" x14ac:dyDescent="0.2">
      <c r="A193" s="227"/>
      <c r="B193" s="227"/>
      <c r="C193" s="240"/>
      <c r="D193" s="221" t="s">
        <v>109</v>
      </c>
      <c r="E193" s="221"/>
      <c r="F193" s="221"/>
      <c r="G193" s="306"/>
      <c r="H193" s="221"/>
      <c r="I193" s="306"/>
      <c r="J193" s="221" t="s">
        <v>114</v>
      </c>
      <c r="K193" s="221"/>
      <c r="L193" s="221"/>
      <c r="M193" s="221"/>
      <c r="N193" s="221"/>
      <c r="O193" s="221"/>
      <c r="P193" s="278"/>
    </row>
    <row r="194" spans="1:153" ht="15" x14ac:dyDescent="0.2">
      <c r="A194" s="227"/>
      <c r="B194" s="227"/>
      <c r="C194" s="240"/>
      <c r="D194" s="221"/>
      <c r="E194" s="306"/>
      <c r="F194" s="221"/>
      <c r="G194" s="306"/>
      <c r="H194" s="221"/>
      <c r="I194" s="306"/>
      <c r="J194" s="221"/>
      <c r="K194" s="221"/>
      <c r="L194" s="221"/>
      <c r="M194" s="221"/>
      <c r="N194" s="221"/>
      <c r="O194" s="221"/>
      <c r="P194" s="278"/>
      <c r="X194" s="5"/>
      <c r="Y194" s="5"/>
      <c r="Z194" s="5"/>
    </row>
    <row r="195" spans="1:153" s="5" customFormat="1" ht="14.45" customHeight="1" x14ac:dyDescent="0.2">
      <c r="A195" s="227"/>
      <c r="B195" s="227"/>
      <c r="C195" s="240"/>
      <c r="D195" s="221"/>
      <c r="E195" s="221"/>
      <c r="F195" s="221"/>
      <c r="G195" s="306"/>
      <c r="H195" s="221"/>
      <c r="I195" s="306"/>
      <c r="J195" s="221"/>
      <c r="K195" s="221"/>
      <c r="L195" s="221"/>
      <c r="M195" s="221"/>
      <c r="N195" s="221"/>
      <c r="O195" s="221"/>
      <c r="P195" s="278"/>
      <c r="X195"/>
      <c r="Y195"/>
      <c r="Z195"/>
      <c r="AE195" s="79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 s="79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 s="79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s="79"/>
    </row>
    <row r="196" spans="1:153" ht="14.45" customHeight="1" x14ac:dyDescent="0.2">
      <c r="A196" s="227"/>
      <c r="B196" s="227"/>
      <c r="C196" s="240"/>
      <c r="D196" s="221"/>
      <c r="E196" s="221"/>
      <c r="F196" s="221"/>
      <c r="G196" s="306"/>
      <c r="H196" s="221"/>
      <c r="I196" s="306"/>
      <c r="J196" s="221"/>
      <c r="K196" s="221"/>
      <c r="L196" s="221"/>
      <c r="M196" s="221"/>
      <c r="N196" s="221"/>
      <c r="O196" s="221"/>
      <c r="P196" s="278"/>
      <c r="X196" s="5"/>
      <c r="Y196" s="5"/>
      <c r="Z196" s="5"/>
    </row>
    <row r="197" spans="1:153" s="5" customFormat="1" ht="7.15" customHeight="1" x14ac:dyDescent="0.2">
      <c r="A197" s="227"/>
      <c r="B197" s="227"/>
      <c r="C197" s="240"/>
      <c r="D197" s="221"/>
      <c r="E197" s="306"/>
      <c r="F197" s="221"/>
      <c r="G197" s="306"/>
      <c r="H197" s="221"/>
      <c r="I197" s="306"/>
      <c r="J197" s="221"/>
      <c r="K197" s="221"/>
      <c r="L197" s="221"/>
      <c r="M197" s="221"/>
      <c r="N197" s="221"/>
      <c r="O197" s="221"/>
      <c r="P197" s="278"/>
      <c r="X197"/>
      <c r="Y197"/>
      <c r="Z197"/>
      <c r="AE197" s="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 s="79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 s="79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s="79"/>
    </row>
    <row r="198" spans="1:153" ht="15" x14ac:dyDescent="0.2">
      <c r="C198" s="240"/>
      <c r="D198" s="221" t="s">
        <v>108</v>
      </c>
      <c r="E198" s="221"/>
      <c r="F198" s="221"/>
      <c r="G198" s="306"/>
      <c r="H198" s="221"/>
      <c r="I198" s="306"/>
      <c r="J198" s="221" t="s">
        <v>112</v>
      </c>
      <c r="K198" s="221"/>
      <c r="L198" s="221"/>
      <c r="M198" s="221"/>
      <c r="N198" s="221"/>
      <c r="O198" s="221"/>
      <c r="P198" s="278"/>
    </row>
    <row r="199" spans="1:153" ht="14.45" customHeight="1" x14ac:dyDescent="0.2">
      <c r="C199" s="240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78"/>
      <c r="X199" s="5"/>
      <c r="Y199" s="5"/>
      <c r="Z199" s="5"/>
    </row>
    <row r="200" spans="1:153" ht="15" x14ac:dyDescent="0.2">
      <c r="C200" s="240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78"/>
    </row>
    <row r="201" spans="1:153" ht="7.15" customHeight="1" x14ac:dyDescent="0.2">
      <c r="C201" s="240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78"/>
      <c r="X201" s="5"/>
      <c r="Y201" s="5"/>
      <c r="Z201" s="5"/>
    </row>
    <row r="202" spans="1:153" ht="15" hidden="1" x14ac:dyDescent="0.2">
      <c r="C202" s="240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78"/>
    </row>
    <row r="203" spans="1:153" ht="7.15" hidden="1" customHeight="1" x14ac:dyDescent="0.2">
      <c r="C203" s="240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78"/>
    </row>
    <row r="204" spans="1:153" ht="15" x14ac:dyDescent="0.2">
      <c r="C204" s="240"/>
      <c r="D204" s="221" t="s">
        <v>115</v>
      </c>
      <c r="E204" s="221"/>
      <c r="F204" s="221"/>
      <c r="G204" s="221"/>
      <c r="H204" s="221"/>
      <c r="I204" s="221"/>
      <c r="J204" s="221" t="s">
        <v>113</v>
      </c>
      <c r="K204" s="221"/>
      <c r="L204" s="221"/>
      <c r="M204" s="221"/>
      <c r="N204" s="221"/>
      <c r="O204" s="221"/>
      <c r="P204" s="278"/>
    </row>
    <row r="205" spans="1:153" ht="15" x14ac:dyDescent="0.2">
      <c r="B205" s="227"/>
      <c r="C205" s="240"/>
      <c r="D205" s="221"/>
      <c r="E205" s="306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78"/>
    </row>
    <row r="206" spans="1:153" ht="14.45" customHeight="1" x14ac:dyDescent="0.2">
      <c r="C206" s="240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78"/>
    </row>
    <row r="207" spans="1:153" ht="7.15" customHeight="1" x14ac:dyDescent="0.2">
      <c r="C207" s="240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303"/>
    </row>
    <row r="208" spans="1:153" ht="15" x14ac:dyDescent="0.2">
      <c r="A208" s="227"/>
      <c r="B208" s="227"/>
      <c r="C208" s="240"/>
      <c r="D208" s="221" t="s">
        <v>111</v>
      </c>
      <c r="E208" s="306"/>
      <c r="F208" s="221"/>
      <c r="G208" s="306"/>
      <c r="H208" s="221"/>
      <c r="I208" s="306"/>
      <c r="J208" s="221"/>
      <c r="K208" s="221"/>
      <c r="L208" s="221"/>
      <c r="M208" s="221"/>
      <c r="N208" s="221"/>
      <c r="O208" s="221"/>
      <c r="P208" s="278"/>
    </row>
    <row r="209" spans="1:153" s="5" customFormat="1" ht="14.45" customHeight="1" x14ac:dyDescent="0.2">
      <c r="A209" s="227"/>
      <c r="B209" s="227"/>
      <c r="C209" s="240"/>
      <c r="D209" s="221"/>
      <c r="E209" s="306"/>
      <c r="F209" s="221"/>
      <c r="G209" s="306"/>
      <c r="H209" s="221"/>
      <c r="I209" s="306"/>
      <c r="J209" s="221"/>
      <c r="K209" s="221"/>
      <c r="L209" s="221"/>
      <c r="M209" s="221"/>
      <c r="N209" s="221"/>
      <c r="O209" s="221"/>
      <c r="P209" s="278"/>
      <c r="X209"/>
      <c r="Y209"/>
      <c r="Z209"/>
      <c r="AE209" s="7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 s="7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 s="7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 s="79"/>
    </row>
    <row r="210" spans="1:153" ht="7.15" customHeight="1" x14ac:dyDescent="0.2">
      <c r="A210" s="227"/>
      <c r="B210" s="227"/>
      <c r="C210" s="240"/>
      <c r="D210" s="221"/>
      <c r="E210" s="306"/>
      <c r="F210" s="221"/>
      <c r="G210" s="306"/>
      <c r="H210" s="221"/>
      <c r="I210" s="306"/>
      <c r="J210" s="221"/>
      <c r="K210" s="221"/>
      <c r="L210" s="221"/>
      <c r="M210" s="221"/>
      <c r="N210" s="221"/>
      <c r="O210" s="221"/>
      <c r="P210" s="278"/>
    </row>
    <row r="211" spans="1:153" s="5" customFormat="1" ht="14.45" customHeight="1" x14ac:dyDescent="0.2">
      <c r="A211" s="227"/>
      <c r="B211" s="227"/>
      <c r="C211" s="240"/>
      <c r="D211" s="221" t="s">
        <v>110</v>
      </c>
      <c r="E211" s="221"/>
      <c r="F211" s="221"/>
      <c r="G211" s="221"/>
      <c r="H211" s="221"/>
      <c r="I211" s="306"/>
      <c r="J211" s="221"/>
      <c r="K211" s="221"/>
      <c r="L211" s="221"/>
      <c r="M211" s="221"/>
      <c r="N211" s="221"/>
      <c r="O211" s="221"/>
      <c r="P211" s="278"/>
      <c r="X211"/>
      <c r="Y211"/>
      <c r="Z211"/>
      <c r="AE211" s="79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 s="79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 s="79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s="79"/>
    </row>
    <row r="212" spans="1:153" ht="15" x14ac:dyDescent="0.2">
      <c r="A212" s="227"/>
      <c r="B212" s="227"/>
      <c r="C212" s="240"/>
      <c r="D212" s="221"/>
      <c r="E212" s="221"/>
      <c r="F212" s="221"/>
      <c r="G212" s="221"/>
      <c r="H212" s="221"/>
      <c r="I212" s="306"/>
      <c r="J212" s="221"/>
      <c r="K212" s="221"/>
      <c r="L212" s="221"/>
      <c r="M212" s="221"/>
      <c r="N212" s="221"/>
      <c r="O212" s="221"/>
      <c r="P212" s="278"/>
    </row>
    <row r="213" spans="1:153" s="5" customFormat="1" ht="7.15" customHeight="1" x14ac:dyDescent="0.2">
      <c r="A213" s="227"/>
      <c r="B213" s="227"/>
      <c r="C213" s="241"/>
      <c r="D213" s="279"/>
      <c r="E213" s="304"/>
      <c r="F213" s="279"/>
      <c r="G213" s="304"/>
      <c r="H213" s="279"/>
      <c r="I213" s="304"/>
      <c r="J213" s="279"/>
      <c r="K213" s="279"/>
      <c r="L213" s="279"/>
      <c r="M213" s="279"/>
      <c r="N213" s="279"/>
      <c r="O213" s="279"/>
      <c r="P213" s="280"/>
      <c r="AE213" s="79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 s="79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 s="79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 s="79"/>
    </row>
    <row r="214" spans="1:153" ht="15" x14ac:dyDescent="0.2">
      <c r="A214" s="227"/>
      <c r="B214" s="227"/>
      <c r="C214" s="120"/>
      <c r="D214" s="106"/>
      <c r="E214" s="106"/>
      <c r="F214" s="106"/>
      <c r="G214" s="106"/>
      <c r="H214" s="106"/>
      <c r="I214" s="309"/>
      <c r="J214" s="106"/>
      <c r="K214" s="106"/>
      <c r="L214" s="106"/>
      <c r="M214" s="106"/>
      <c r="N214" s="106"/>
      <c r="O214" s="106"/>
      <c r="P214" s="106"/>
    </row>
    <row r="215" spans="1:153" ht="15" hidden="1" x14ac:dyDescent="0.2"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X215" s="5"/>
      <c r="Y215" s="5"/>
      <c r="Z215" s="5"/>
    </row>
    <row r="216" spans="1:153" ht="15" hidden="1" x14ac:dyDescent="0.2"/>
    <row r="217" spans="1:153" ht="15" x14ac:dyDescent="0.2">
      <c r="C217" s="362" t="s">
        <v>378</v>
      </c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X217" s="5"/>
      <c r="Y217" s="5"/>
      <c r="Z217" s="5"/>
    </row>
    <row r="218" spans="1:153" ht="14.45" customHeight="1" x14ac:dyDescent="0.2"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44"/>
      <c r="N218" s="219"/>
      <c r="O218" s="219"/>
      <c r="P218" s="219"/>
    </row>
    <row r="219" spans="1:153" ht="15" customHeight="1" x14ac:dyDescent="0.2">
      <c r="C219" s="219"/>
      <c r="D219" s="219"/>
      <c r="E219" s="219"/>
      <c r="F219" s="373">
        <v>1</v>
      </c>
      <c r="G219" s="373"/>
      <c r="H219" s="373">
        <v>2</v>
      </c>
      <c r="I219" s="373"/>
      <c r="J219" s="373">
        <v>3</v>
      </c>
      <c r="K219" s="373"/>
      <c r="L219" s="373">
        <v>4</v>
      </c>
      <c r="M219" s="373"/>
      <c r="N219" s="245" t="s">
        <v>67</v>
      </c>
      <c r="O219" s="219"/>
      <c r="P219" s="219"/>
    </row>
    <row r="220" spans="1:153" ht="15" x14ac:dyDescent="0.2">
      <c r="C220" s="364" t="s">
        <v>69</v>
      </c>
      <c r="D220" s="365"/>
      <c r="E220" s="366"/>
      <c r="F220" s="281"/>
      <c r="G220" s="276"/>
      <c r="H220" s="276"/>
      <c r="I220" s="276"/>
      <c r="J220" s="276"/>
      <c r="K220" s="276"/>
      <c r="L220" s="276"/>
      <c r="M220" s="417"/>
      <c r="N220" s="438"/>
      <c r="O220" s="219"/>
      <c r="P220" s="219"/>
    </row>
    <row r="221" spans="1:153" ht="15" x14ac:dyDescent="0.2">
      <c r="C221" s="367"/>
      <c r="D221" s="368"/>
      <c r="E221" s="369"/>
      <c r="F221" s="247"/>
      <c r="G221" s="221"/>
      <c r="H221" s="221"/>
      <c r="I221" s="221"/>
      <c r="J221" s="221"/>
      <c r="K221" s="221"/>
      <c r="L221" s="221"/>
      <c r="M221" s="363"/>
      <c r="N221" s="439"/>
      <c r="O221" s="219"/>
      <c r="P221" s="219"/>
    </row>
    <row r="222" spans="1:153" ht="15.75" thickBot="1" x14ac:dyDescent="0.25">
      <c r="C222" s="370"/>
      <c r="D222" s="371"/>
      <c r="E222" s="372"/>
      <c r="F222" s="248"/>
      <c r="G222" s="221"/>
      <c r="H222" s="221"/>
      <c r="I222" s="221"/>
      <c r="J222" s="221"/>
      <c r="K222" s="221"/>
      <c r="L222" s="221"/>
      <c r="M222" s="363"/>
      <c r="N222" s="440"/>
      <c r="O222" s="219"/>
      <c r="P222" s="219"/>
    </row>
    <row r="223" spans="1:153" ht="15" x14ac:dyDescent="0.2">
      <c r="C223" s="364" t="s">
        <v>68</v>
      </c>
      <c r="D223" s="365"/>
      <c r="E223" s="366"/>
      <c r="F223" s="246"/>
      <c r="G223" s="221"/>
      <c r="H223" s="221"/>
      <c r="I223" s="221"/>
      <c r="J223" s="221"/>
      <c r="K223" s="221"/>
      <c r="L223" s="221"/>
      <c r="M223" s="363"/>
      <c r="N223" s="438"/>
      <c r="O223" s="219"/>
      <c r="P223" s="219"/>
    </row>
    <row r="224" spans="1:153" ht="15.75" thickBot="1" x14ac:dyDescent="0.25">
      <c r="C224" s="367"/>
      <c r="D224" s="368"/>
      <c r="E224" s="369"/>
      <c r="F224" s="247"/>
      <c r="G224" s="221"/>
      <c r="H224" s="221"/>
      <c r="I224" s="221"/>
      <c r="J224" s="221"/>
      <c r="K224" s="221"/>
      <c r="L224" s="221"/>
      <c r="M224" s="363"/>
      <c r="N224" s="439"/>
      <c r="O224" s="219"/>
      <c r="P224" s="219"/>
    </row>
    <row r="225" spans="3:71" ht="15.75" thickBot="1" x14ac:dyDescent="0.25">
      <c r="C225" s="370"/>
      <c r="D225" s="371"/>
      <c r="E225" s="372"/>
      <c r="F225" s="248"/>
      <c r="G225" s="221"/>
      <c r="H225" s="221"/>
      <c r="I225" s="221"/>
      <c r="J225" s="221"/>
      <c r="K225" s="221"/>
      <c r="L225" s="221"/>
      <c r="M225" s="363"/>
      <c r="N225" s="440"/>
      <c r="O225" s="219"/>
      <c r="P225" s="219"/>
      <c r="AJ225" s="401" t="s">
        <v>278</v>
      </c>
      <c r="AK225" s="402"/>
      <c r="AL225" s="402"/>
      <c r="AM225" s="402"/>
      <c r="AN225" s="402"/>
      <c r="AO225" s="402"/>
      <c r="AP225" s="402"/>
      <c r="AQ225" s="402"/>
      <c r="AR225" s="402"/>
      <c r="AS225" s="402"/>
      <c r="AT225" s="402"/>
      <c r="AU225" s="402"/>
      <c r="AV225" s="402"/>
      <c r="AW225" s="402"/>
      <c r="AX225" s="402"/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3"/>
    </row>
    <row r="226" spans="3:71" ht="15.75" thickBot="1" x14ac:dyDescent="0.25">
      <c r="C226" s="364" t="s">
        <v>70</v>
      </c>
      <c r="D226" s="365"/>
      <c r="E226" s="366"/>
      <c r="F226" s="246"/>
      <c r="G226" s="221"/>
      <c r="H226" s="221"/>
      <c r="I226" s="221"/>
      <c r="J226" s="221"/>
      <c r="K226" s="221"/>
      <c r="L226" s="221"/>
      <c r="M226" s="363"/>
      <c r="N226" s="438"/>
      <c r="O226" s="219"/>
      <c r="P226" s="219"/>
      <c r="AJ226" s="401" t="s">
        <v>279</v>
      </c>
      <c r="AK226" s="402"/>
      <c r="AL226" s="402"/>
      <c r="AM226" s="402"/>
      <c r="AN226" s="402"/>
      <c r="AO226" s="402"/>
      <c r="AP226" s="402" t="s">
        <v>280</v>
      </c>
      <c r="AQ226" s="402"/>
      <c r="AR226" s="402"/>
      <c r="AS226" s="402"/>
      <c r="AT226" s="402"/>
      <c r="AU226" s="192" t="s">
        <v>281</v>
      </c>
      <c r="AV226" s="192"/>
      <c r="AW226" s="192"/>
      <c r="AX226" s="192"/>
      <c r="AY226" s="192"/>
      <c r="AZ226" s="192" t="s">
        <v>282</v>
      </c>
      <c r="BA226" s="192"/>
      <c r="BB226" s="192"/>
      <c r="BC226" s="192"/>
      <c r="BD226" s="192"/>
      <c r="BE226" s="192" t="s">
        <v>283</v>
      </c>
      <c r="BF226" s="192"/>
      <c r="BG226" s="192"/>
      <c r="BH226" s="192"/>
      <c r="BI226" s="192"/>
      <c r="BJ226" s="192" t="s">
        <v>284</v>
      </c>
      <c r="BK226" s="192"/>
      <c r="BL226" s="192"/>
      <c r="BM226" s="192"/>
      <c r="BN226" s="192"/>
      <c r="BO226" s="192" t="s">
        <v>285</v>
      </c>
      <c r="BP226" s="192"/>
      <c r="BQ226" s="192"/>
      <c r="BR226" s="192"/>
      <c r="BS226" s="193"/>
    </row>
    <row r="227" spans="3:71" ht="15" x14ac:dyDescent="0.2">
      <c r="C227" s="367"/>
      <c r="D227" s="368"/>
      <c r="E227" s="369"/>
      <c r="F227" s="247"/>
      <c r="G227" s="221"/>
      <c r="H227" s="221"/>
      <c r="I227" s="221"/>
      <c r="J227" s="221"/>
      <c r="K227" s="221"/>
      <c r="L227" s="221"/>
      <c r="M227" s="363"/>
      <c r="N227" s="439"/>
      <c r="O227" s="219"/>
      <c r="P227" s="219"/>
      <c r="AJ227" s="180" t="s">
        <v>141</v>
      </c>
      <c r="AK227" s="181"/>
      <c r="AL227" s="181"/>
      <c r="AM227" s="181"/>
      <c r="AN227" s="181"/>
      <c r="AO227" s="181"/>
      <c r="AP227" s="181" t="s">
        <v>286</v>
      </c>
      <c r="AQ227" s="181"/>
      <c r="AR227" s="181"/>
      <c r="AS227" s="181"/>
      <c r="AT227" s="181"/>
      <c r="AU227" s="181" t="s">
        <v>287</v>
      </c>
      <c r="AV227" s="181"/>
      <c r="AW227" s="181"/>
      <c r="AX227" s="181"/>
      <c r="AY227" s="181"/>
      <c r="AZ227" s="181" t="s">
        <v>288</v>
      </c>
      <c r="BA227" s="181"/>
      <c r="BB227" s="181"/>
      <c r="BC227" s="181"/>
      <c r="BD227" s="181"/>
      <c r="BE227" s="181" t="s">
        <v>289</v>
      </c>
      <c r="BF227" s="181"/>
      <c r="BG227" s="181"/>
      <c r="BH227" s="181"/>
      <c r="BI227" s="181"/>
      <c r="BJ227" s="181" t="s">
        <v>290</v>
      </c>
      <c r="BK227" s="181"/>
      <c r="BL227" s="181"/>
      <c r="BM227" s="181"/>
      <c r="BN227" s="181"/>
      <c r="BO227" s="181" t="s">
        <v>291</v>
      </c>
      <c r="BP227" s="181"/>
      <c r="BQ227" s="181"/>
      <c r="BR227" s="181"/>
      <c r="BS227" s="191"/>
    </row>
    <row r="228" spans="3:71" ht="15.75" thickBot="1" x14ac:dyDescent="0.25">
      <c r="C228" s="370"/>
      <c r="D228" s="371"/>
      <c r="E228" s="372"/>
      <c r="F228" s="248"/>
      <c r="G228" s="221"/>
      <c r="H228" s="221"/>
      <c r="I228" s="221"/>
      <c r="J228" s="221"/>
      <c r="K228" s="221"/>
      <c r="L228" s="221"/>
      <c r="M228" s="363"/>
      <c r="N228" s="440"/>
      <c r="O228" s="219"/>
      <c r="P228" s="219"/>
      <c r="AJ228" s="182" t="s">
        <v>140</v>
      </c>
      <c r="AK228" s="123"/>
      <c r="AL228" s="123"/>
      <c r="AM228" s="123"/>
      <c r="AN228" s="123"/>
      <c r="AO228" s="123"/>
      <c r="AP228" s="123" t="s">
        <v>292</v>
      </c>
      <c r="AQ228" s="123"/>
      <c r="AR228" s="123"/>
      <c r="AS228" s="123"/>
      <c r="AT228" s="123"/>
      <c r="AU228" s="123" t="s">
        <v>293</v>
      </c>
      <c r="AV228" s="123"/>
      <c r="AW228" s="123"/>
      <c r="AX228" s="123"/>
      <c r="AY228" s="123"/>
      <c r="AZ228" s="123" t="s">
        <v>294</v>
      </c>
      <c r="BA228" s="123"/>
      <c r="BB228" s="123"/>
      <c r="BC228" s="123"/>
      <c r="BD228" s="123"/>
      <c r="BE228" s="123" t="s">
        <v>295</v>
      </c>
      <c r="BF228" s="123"/>
      <c r="BG228" s="123"/>
      <c r="BH228" s="123"/>
      <c r="BI228" s="123"/>
      <c r="BJ228" s="123" t="s">
        <v>296</v>
      </c>
      <c r="BK228" s="123"/>
      <c r="BL228" s="123"/>
      <c r="BM228" s="123"/>
      <c r="BN228" s="123"/>
      <c r="BO228" s="123" t="s">
        <v>297</v>
      </c>
      <c r="BP228" s="123"/>
      <c r="BQ228" s="123"/>
      <c r="BR228" s="123"/>
      <c r="BS228" s="190"/>
    </row>
    <row r="229" spans="3:71" ht="15" x14ac:dyDescent="0.2">
      <c r="C229" s="364" t="s">
        <v>71</v>
      </c>
      <c r="D229" s="365"/>
      <c r="E229" s="366"/>
      <c r="F229" s="246"/>
      <c r="G229" s="221"/>
      <c r="H229" s="221"/>
      <c r="I229" s="221"/>
      <c r="J229" s="221"/>
      <c r="K229" s="221"/>
      <c r="L229" s="221"/>
      <c r="M229" s="363"/>
      <c r="N229" s="438"/>
      <c r="O229" s="219"/>
      <c r="P229" s="219"/>
      <c r="AJ229" s="183" t="s">
        <v>298</v>
      </c>
      <c r="AK229" s="184"/>
      <c r="AL229" s="184"/>
      <c r="AM229" s="184"/>
      <c r="AN229" s="184"/>
      <c r="AO229" s="184"/>
      <c r="AP229" s="184" t="s">
        <v>299</v>
      </c>
      <c r="AQ229" s="184"/>
      <c r="AR229" s="184"/>
      <c r="AS229" s="184"/>
      <c r="AT229" s="184"/>
      <c r="AU229" s="184" t="s">
        <v>294</v>
      </c>
      <c r="AV229" s="184"/>
      <c r="AW229" s="184"/>
      <c r="AX229" s="184"/>
      <c r="AY229" s="184"/>
      <c r="AZ229" s="184" t="s">
        <v>297</v>
      </c>
      <c r="BA229" s="184"/>
      <c r="BB229" s="184"/>
      <c r="BC229" s="184"/>
      <c r="BD229" s="184"/>
      <c r="BE229" s="184" t="s">
        <v>300</v>
      </c>
      <c r="BF229" s="184"/>
      <c r="BG229" s="184"/>
      <c r="BH229" s="184"/>
      <c r="BI229" s="184"/>
      <c r="BJ229" s="184" t="s">
        <v>301</v>
      </c>
      <c r="BK229" s="184"/>
      <c r="BL229" s="184"/>
      <c r="BM229" s="184"/>
      <c r="BN229" s="184"/>
      <c r="BO229" s="184" t="s">
        <v>302</v>
      </c>
      <c r="BP229" s="184"/>
      <c r="BQ229" s="184"/>
      <c r="BR229" s="184"/>
      <c r="BS229" s="189"/>
    </row>
    <row r="230" spans="3:71" ht="15" x14ac:dyDescent="0.2">
      <c r="C230" s="367"/>
      <c r="D230" s="368"/>
      <c r="E230" s="369"/>
      <c r="F230" s="247"/>
      <c r="G230" s="221"/>
      <c r="H230" s="221"/>
      <c r="I230" s="221"/>
      <c r="J230" s="221"/>
      <c r="K230" s="221"/>
      <c r="L230" s="221"/>
      <c r="M230" s="363"/>
      <c r="N230" s="439"/>
      <c r="O230" s="219"/>
      <c r="P230" s="219"/>
      <c r="AJ230" s="182" t="s">
        <v>303</v>
      </c>
      <c r="AK230" s="123"/>
      <c r="AL230" s="123"/>
      <c r="AM230" s="123"/>
      <c r="AN230" s="123"/>
      <c r="AO230" s="123"/>
      <c r="AP230" s="123" t="s">
        <v>304</v>
      </c>
      <c r="AQ230" s="123"/>
      <c r="AR230" s="123"/>
      <c r="AS230" s="123"/>
      <c r="AT230" s="123"/>
      <c r="AU230" s="123" t="s">
        <v>295</v>
      </c>
      <c r="AV230" s="123"/>
      <c r="AW230" s="123"/>
      <c r="AX230" s="123"/>
      <c r="AY230" s="123"/>
      <c r="AZ230" s="123" t="s">
        <v>300</v>
      </c>
      <c r="BA230" s="123"/>
      <c r="BB230" s="123"/>
      <c r="BC230" s="123"/>
      <c r="BD230" s="123"/>
      <c r="BE230" s="123" t="s">
        <v>305</v>
      </c>
      <c r="BF230" s="123"/>
      <c r="BG230" s="123"/>
      <c r="BH230" s="123"/>
      <c r="BI230" s="123"/>
      <c r="BJ230" s="123" t="s">
        <v>305</v>
      </c>
      <c r="BK230" s="123"/>
      <c r="BL230" s="123"/>
      <c r="BM230" s="123"/>
      <c r="BN230" s="123"/>
      <c r="BO230" s="123" t="s">
        <v>306</v>
      </c>
      <c r="BP230" s="123"/>
      <c r="BQ230" s="123"/>
      <c r="BR230" s="123"/>
      <c r="BS230" s="190"/>
    </row>
    <row r="231" spans="3:71" ht="15.75" thickBot="1" x14ac:dyDescent="0.25">
      <c r="C231" s="370"/>
      <c r="D231" s="371"/>
      <c r="E231" s="372"/>
      <c r="F231" s="248"/>
      <c r="G231" s="221"/>
      <c r="H231" s="221"/>
      <c r="I231" s="221"/>
      <c r="J231" s="221"/>
      <c r="K231" s="221"/>
      <c r="L231" s="221"/>
      <c r="M231" s="363"/>
      <c r="N231" s="440"/>
      <c r="O231" s="219"/>
      <c r="P231" s="219"/>
      <c r="AJ231" s="183" t="s">
        <v>307</v>
      </c>
      <c r="AK231" s="184"/>
      <c r="AL231" s="184"/>
      <c r="AM231" s="184"/>
      <c r="AN231" s="184"/>
      <c r="AO231" s="184"/>
      <c r="AP231" s="184" t="s">
        <v>308</v>
      </c>
      <c r="AQ231" s="184"/>
      <c r="AR231" s="184"/>
      <c r="AS231" s="184"/>
      <c r="AT231" s="184"/>
      <c r="AU231" s="184" t="s">
        <v>309</v>
      </c>
      <c r="AV231" s="184"/>
      <c r="AW231" s="184"/>
      <c r="AX231" s="184"/>
      <c r="AY231" s="184"/>
      <c r="AZ231" s="184" t="s">
        <v>305</v>
      </c>
      <c r="BA231" s="184"/>
      <c r="BB231" s="184"/>
      <c r="BC231" s="184"/>
      <c r="BD231" s="184"/>
      <c r="BE231" s="184" t="s">
        <v>310</v>
      </c>
      <c r="BF231" s="184"/>
      <c r="BG231" s="184"/>
      <c r="BH231" s="184"/>
      <c r="BI231" s="184"/>
      <c r="BJ231" s="184" t="s">
        <v>310</v>
      </c>
      <c r="BK231" s="184"/>
      <c r="BL231" s="184"/>
      <c r="BM231" s="184"/>
      <c r="BN231" s="184"/>
      <c r="BO231" s="184" t="s">
        <v>311</v>
      </c>
      <c r="BP231" s="184"/>
      <c r="BQ231" s="184"/>
      <c r="BR231" s="184"/>
      <c r="BS231" s="189"/>
    </row>
    <row r="232" spans="3:71" ht="15" x14ac:dyDescent="0.2">
      <c r="C232" s="364" t="s">
        <v>72</v>
      </c>
      <c r="D232" s="365"/>
      <c r="E232" s="366"/>
      <c r="F232" s="246"/>
      <c r="G232" s="221"/>
      <c r="H232" s="221"/>
      <c r="I232" s="221"/>
      <c r="J232" s="221"/>
      <c r="K232" s="221"/>
      <c r="L232" s="221"/>
      <c r="M232" s="363"/>
      <c r="N232" s="438"/>
      <c r="O232" s="219"/>
      <c r="P232" s="219"/>
      <c r="AJ232" s="182" t="s">
        <v>312</v>
      </c>
      <c r="AK232" s="123"/>
      <c r="AL232" s="123"/>
      <c r="AM232" s="123"/>
      <c r="AN232" s="123"/>
      <c r="AO232" s="123"/>
      <c r="AP232" s="123" t="s">
        <v>313</v>
      </c>
      <c r="AQ232" s="123"/>
      <c r="AR232" s="123"/>
      <c r="AS232" s="123"/>
      <c r="AT232" s="123"/>
      <c r="AU232" s="123" t="s">
        <v>314</v>
      </c>
      <c r="AV232" s="123"/>
      <c r="AW232" s="123"/>
      <c r="AX232" s="123"/>
      <c r="AY232" s="123"/>
      <c r="AZ232" s="123" t="s">
        <v>315</v>
      </c>
      <c r="BA232" s="123"/>
      <c r="BB232" s="123"/>
      <c r="BC232" s="123"/>
      <c r="BD232" s="123"/>
      <c r="BE232" s="123" t="s">
        <v>316</v>
      </c>
      <c r="BF232" s="123"/>
      <c r="BG232" s="123"/>
      <c r="BH232" s="123"/>
      <c r="BI232" s="123"/>
      <c r="BJ232" s="123" t="s">
        <v>316</v>
      </c>
      <c r="BK232" s="123"/>
      <c r="BL232" s="123"/>
      <c r="BM232" s="123"/>
      <c r="BN232" s="123"/>
      <c r="BO232" s="123" t="s">
        <v>315</v>
      </c>
      <c r="BP232" s="123"/>
      <c r="BQ232" s="123"/>
      <c r="BR232" s="123"/>
      <c r="BS232" s="190"/>
    </row>
    <row r="233" spans="3:71" ht="15.75" thickBot="1" x14ac:dyDescent="0.25">
      <c r="C233" s="367"/>
      <c r="D233" s="368"/>
      <c r="E233" s="369"/>
      <c r="F233" s="247"/>
      <c r="G233" s="221"/>
      <c r="H233" s="221"/>
      <c r="I233" s="221"/>
      <c r="J233" s="221"/>
      <c r="K233" s="221"/>
      <c r="L233" s="221"/>
      <c r="M233" s="363"/>
      <c r="N233" s="439"/>
      <c r="O233" s="219"/>
      <c r="P233" s="219"/>
      <c r="AJ233" s="185" t="s">
        <v>317</v>
      </c>
      <c r="AK233" s="186"/>
      <c r="AL233" s="186"/>
      <c r="AM233" s="186"/>
      <c r="AN233" s="186"/>
      <c r="AO233" s="186"/>
      <c r="AP233" s="186" t="s">
        <v>318</v>
      </c>
      <c r="AQ233" s="186"/>
      <c r="AR233" s="186"/>
      <c r="AS233" s="186"/>
      <c r="AT233" s="186"/>
      <c r="AU233" s="186" t="s">
        <v>319</v>
      </c>
      <c r="AV233" s="186"/>
      <c r="AW233" s="186"/>
      <c r="AX233" s="186"/>
      <c r="AY233" s="186"/>
      <c r="AZ233" s="186" t="s">
        <v>320</v>
      </c>
      <c r="BA233" s="186"/>
      <c r="BB233" s="186"/>
      <c r="BC233" s="186"/>
      <c r="BD233" s="186"/>
      <c r="BE233" s="186" t="s">
        <v>321</v>
      </c>
      <c r="BF233" s="186"/>
      <c r="BG233" s="186"/>
      <c r="BH233" s="186"/>
      <c r="BI233" s="186"/>
      <c r="BJ233" s="186" t="s">
        <v>321</v>
      </c>
      <c r="BK233" s="186"/>
      <c r="BL233" s="186"/>
      <c r="BM233" s="186"/>
      <c r="BN233" s="186"/>
      <c r="BO233" s="186" t="s">
        <v>322</v>
      </c>
      <c r="BP233" s="186"/>
      <c r="BQ233" s="186"/>
      <c r="BR233" s="186"/>
      <c r="BS233" s="188"/>
    </row>
    <row r="234" spans="3:71" ht="15.75" thickBot="1" x14ac:dyDescent="0.25">
      <c r="C234" s="370"/>
      <c r="D234" s="371"/>
      <c r="E234" s="372"/>
      <c r="F234" s="248"/>
      <c r="G234" s="221"/>
      <c r="H234" s="221"/>
      <c r="I234" s="221"/>
      <c r="J234" s="221"/>
      <c r="K234" s="221"/>
      <c r="L234" s="221"/>
      <c r="M234" s="363"/>
      <c r="N234" s="440"/>
      <c r="O234" s="219"/>
      <c r="P234" s="219"/>
      <c r="AJ234" s="401" t="s">
        <v>323</v>
      </c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3"/>
    </row>
    <row r="235" spans="3:71" ht="15.75" thickBot="1" x14ac:dyDescent="0.25">
      <c r="C235" s="364" t="s">
        <v>73</v>
      </c>
      <c r="D235" s="365"/>
      <c r="E235" s="366"/>
      <c r="F235" s="246"/>
      <c r="G235" s="221"/>
      <c r="H235" s="221"/>
      <c r="I235" s="221"/>
      <c r="J235" s="221"/>
      <c r="K235" s="221"/>
      <c r="L235" s="221"/>
      <c r="M235" s="363"/>
      <c r="N235" s="438"/>
      <c r="O235" s="219"/>
      <c r="P235" s="219"/>
      <c r="AJ235" s="401" t="s">
        <v>279</v>
      </c>
      <c r="AK235" s="402"/>
      <c r="AL235" s="402"/>
      <c r="AM235" s="402"/>
      <c r="AN235" s="402"/>
      <c r="AO235" s="402"/>
      <c r="AP235" s="192" t="s">
        <v>280</v>
      </c>
      <c r="AQ235" s="192"/>
      <c r="AR235" s="192"/>
      <c r="AS235" s="192"/>
      <c r="AT235" s="192"/>
      <c r="AU235" s="192" t="s">
        <v>281</v>
      </c>
      <c r="AV235" s="192"/>
      <c r="AW235" s="192"/>
      <c r="AX235" s="192"/>
      <c r="AY235" s="192"/>
      <c r="AZ235" s="192" t="s">
        <v>282</v>
      </c>
      <c r="BA235" s="192"/>
      <c r="BB235" s="192"/>
      <c r="BC235" s="192"/>
      <c r="BD235" s="192"/>
      <c r="BE235" s="192" t="s">
        <v>283</v>
      </c>
      <c r="BF235" s="192"/>
      <c r="BG235" s="192"/>
      <c r="BH235" s="192"/>
      <c r="BI235" s="192"/>
      <c r="BJ235" s="192" t="s">
        <v>284</v>
      </c>
      <c r="BK235" s="192"/>
      <c r="BL235" s="192"/>
      <c r="BM235" s="192"/>
      <c r="BN235" s="192"/>
      <c r="BO235" s="192" t="s">
        <v>285</v>
      </c>
      <c r="BP235" s="192"/>
      <c r="BQ235" s="192"/>
      <c r="BR235" s="192"/>
      <c r="BS235" s="193"/>
    </row>
    <row r="236" spans="3:71" ht="15" x14ac:dyDescent="0.2">
      <c r="C236" s="367"/>
      <c r="D236" s="368"/>
      <c r="E236" s="369"/>
      <c r="F236" s="247"/>
      <c r="G236" s="221"/>
      <c r="H236" s="221"/>
      <c r="I236" s="221"/>
      <c r="J236" s="221"/>
      <c r="K236" s="221"/>
      <c r="L236" s="221"/>
      <c r="M236" s="363"/>
      <c r="N236" s="439"/>
      <c r="O236" s="219"/>
      <c r="P236" s="219"/>
      <c r="AJ236" s="393" t="s">
        <v>141</v>
      </c>
      <c r="AK236" s="394"/>
      <c r="AL236" s="394"/>
      <c r="AM236" s="394"/>
      <c r="AN236" s="394"/>
      <c r="AO236" s="394"/>
      <c r="AP236" s="181" t="s">
        <v>324</v>
      </c>
      <c r="AQ236" s="181"/>
      <c r="AR236" s="181"/>
      <c r="AS236" s="181"/>
      <c r="AT236" s="181"/>
      <c r="AU236" s="181" t="s">
        <v>304</v>
      </c>
      <c r="AV236" s="181"/>
      <c r="AW236" s="181"/>
      <c r="AX236" s="181"/>
      <c r="AY236" s="181"/>
      <c r="AZ236" s="181" t="s">
        <v>325</v>
      </c>
      <c r="BA236" s="181"/>
      <c r="BB236" s="181"/>
      <c r="BC236" s="181"/>
      <c r="BD236" s="181"/>
      <c r="BE236" s="181" t="s">
        <v>326</v>
      </c>
      <c r="BF236" s="181"/>
      <c r="BG236" s="181"/>
      <c r="BH236" s="181"/>
      <c r="BI236" s="181"/>
      <c r="BJ236" s="181" t="s">
        <v>327</v>
      </c>
      <c r="BK236" s="181"/>
      <c r="BL236" s="181"/>
      <c r="BM236" s="181"/>
      <c r="BN236" s="181"/>
      <c r="BO236" s="181" t="s">
        <v>328</v>
      </c>
      <c r="BP236" s="181"/>
      <c r="BQ236" s="181"/>
      <c r="BR236" s="181"/>
      <c r="BS236" s="191"/>
    </row>
    <row r="237" spans="3:71" ht="15.75" thickBot="1" x14ac:dyDescent="0.25">
      <c r="C237" s="370"/>
      <c r="D237" s="371"/>
      <c r="E237" s="372"/>
      <c r="F237" s="248"/>
      <c r="G237" s="221"/>
      <c r="H237" s="221"/>
      <c r="I237" s="221"/>
      <c r="J237" s="221"/>
      <c r="K237" s="221"/>
      <c r="L237" s="221"/>
      <c r="M237" s="363"/>
      <c r="N237" s="440"/>
      <c r="O237" s="219"/>
      <c r="P237" s="219"/>
      <c r="AJ237" s="380" t="s">
        <v>140</v>
      </c>
      <c r="AK237" s="392"/>
      <c r="AL237" s="392"/>
      <c r="AM237" s="392"/>
      <c r="AN237" s="392"/>
      <c r="AO237" s="392"/>
      <c r="AP237" s="123" t="s">
        <v>329</v>
      </c>
      <c r="AQ237" s="123"/>
      <c r="AR237" s="123"/>
      <c r="AS237" s="123"/>
      <c r="AT237" s="123"/>
      <c r="AU237" s="123" t="s">
        <v>295</v>
      </c>
      <c r="AV237" s="123"/>
      <c r="AW237" s="123"/>
      <c r="AX237" s="123"/>
      <c r="AY237" s="123"/>
      <c r="AZ237" s="123" t="s">
        <v>330</v>
      </c>
      <c r="BA237" s="123"/>
      <c r="BB237" s="123"/>
      <c r="BC237" s="123"/>
      <c r="BD237" s="123"/>
      <c r="BE237" s="123" t="s">
        <v>331</v>
      </c>
      <c r="BF237" s="123"/>
      <c r="BG237" s="123"/>
      <c r="BH237" s="123"/>
      <c r="BI237" s="123"/>
      <c r="BJ237" s="123" t="s">
        <v>332</v>
      </c>
      <c r="BK237" s="123"/>
      <c r="BL237" s="123"/>
      <c r="BM237" s="123"/>
      <c r="BN237" s="123"/>
      <c r="BO237" s="123" t="s">
        <v>333</v>
      </c>
      <c r="BP237" s="123"/>
      <c r="BQ237" s="123"/>
      <c r="BR237" s="123"/>
      <c r="BS237" s="190"/>
    </row>
    <row r="238" spans="3:71" ht="15" x14ac:dyDescent="0.2">
      <c r="C238" s="364" t="s">
        <v>74</v>
      </c>
      <c r="D238" s="365"/>
      <c r="E238" s="366"/>
      <c r="F238" s="246"/>
      <c r="G238" s="221"/>
      <c r="H238" s="221"/>
      <c r="I238" s="221"/>
      <c r="J238" s="221"/>
      <c r="K238" s="221"/>
      <c r="L238" s="221"/>
      <c r="M238" s="363"/>
      <c r="N238" s="438"/>
      <c r="O238" s="219"/>
      <c r="P238" s="219"/>
      <c r="AJ238" s="378" t="s">
        <v>298</v>
      </c>
      <c r="AK238" s="391"/>
      <c r="AL238" s="391"/>
      <c r="AM238" s="391"/>
      <c r="AN238" s="391"/>
      <c r="AO238" s="391"/>
      <c r="AP238" s="184" t="s">
        <v>334</v>
      </c>
      <c r="AQ238" s="184"/>
      <c r="AR238" s="184"/>
      <c r="AS238" s="184"/>
      <c r="AT238" s="184"/>
      <c r="AU238" s="184" t="s">
        <v>300</v>
      </c>
      <c r="AV238" s="184"/>
      <c r="AW238" s="184"/>
      <c r="AX238" s="184"/>
      <c r="AY238" s="184"/>
      <c r="AZ238" s="184" t="s">
        <v>332</v>
      </c>
      <c r="BA238" s="184"/>
      <c r="BB238" s="184"/>
      <c r="BC238" s="184"/>
      <c r="BD238" s="184"/>
      <c r="BE238" s="184" t="s">
        <v>335</v>
      </c>
      <c r="BF238" s="184"/>
      <c r="BG238" s="184"/>
      <c r="BH238" s="184"/>
      <c r="BI238" s="184"/>
      <c r="BJ238" s="184" t="s">
        <v>315</v>
      </c>
      <c r="BK238" s="184"/>
      <c r="BL238" s="184"/>
      <c r="BM238" s="184"/>
      <c r="BN238" s="184"/>
      <c r="BO238" s="184" t="s">
        <v>315</v>
      </c>
      <c r="BP238" s="184"/>
      <c r="BQ238" s="184"/>
      <c r="BR238" s="184"/>
      <c r="BS238" s="189"/>
    </row>
    <row r="239" spans="3:71" ht="15" x14ac:dyDescent="0.2">
      <c r="C239" s="367"/>
      <c r="D239" s="368"/>
      <c r="E239" s="369"/>
      <c r="F239" s="247"/>
      <c r="G239" s="221"/>
      <c r="H239" s="221"/>
      <c r="I239" s="221"/>
      <c r="J239" s="221"/>
      <c r="K239" s="221"/>
      <c r="L239" s="221"/>
      <c r="M239" s="363"/>
      <c r="N239" s="439"/>
      <c r="O239" s="219"/>
      <c r="P239" s="219"/>
      <c r="AJ239" s="380" t="s">
        <v>303</v>
      </c>
      <c r="AK239" s="392"/>
      <c r="AL239" s="392"/>
      <c r="AM239" s="392"/>
      <c r="AN239" s="392"/>
      <c r="AO239" s="392"/>
      <c r="AP239" s="123" t="s">
        <v>331</v>
      </c>
      <c r="AQ239" s="123"/>
      <c r="AR239" s="123"/>
      <c r="AS239" s="123"/>
      <c r="AT239" s="123"/>
      <c r="AU239" s="123" t="s">
        <v>305</v>
      </c>
      <c r="AV239" s="123"/>
      <c r="AW239" s="123"/>
      <c r="AX239" s="123"/>
      <c r="AY239" s="123"/>
      <c r="AZ239" s="123" t="s">
        <v>315</v>
      </c>
      <c r="BA239" s="123"/>
      <c r="BB239" s="123"/>
      <c r="BC239" s="123"/>
      <c r="BD239" s="123"/>
      <c r="BE239" s="123" t="s">
        <v>336</v>
      </c>
      <c r="BF239" s="123"/>
      <c r="BG239" s="123"/>
      <c r="BH239" s="123"/>
      <c r="BI239" s="123"/>
      <c r="BJ239" s="123" t="s">
        <v>337</v>
      </c>
      <c r="BK239" s="123"/>
      <c r="BL239" s="123"/>
      <c r="BM239" s="123"/>
      <c r="BN239" s="123"/>
      <c r="BO239" s="123" t="s">
        <v>337</v>
      </c>
      <c r="BP239" s="123"/>
      <c r="BQ239" s="123"/>
      <c r="BR239" s="123"/>
      <c r="BS239" s="190"/>
    </row>
    <row r="240" spans="3:71" ht="15.75" thickBot="1" x14ac:dyDescent="0.25">
      <c r="C240" s="370"/>
      <c r="D240" s="371"/>
      <c r="E240" s="372"/>
      <c r="F240" s="248"/>
      <c r="G240" s="221"/>
      <c r="H240" s="221"/>
      <c r="I240" s="221"/>
      <c r="J240" s="221"/>
      <c r="K240" s="221"/>
      <c r="L240" s="221"/>
      <c r="M240" s="363"/>
      <c r="N240" s="440"/>
      <c r="O240" s="219"/>
      <c r="P240" s="219"/>
      <c r="AJ240" s="378" t="s">
        <v>307</v>
      </c>
      <c r="AK240" s="391"/>
      <c r="AL240" s="391"/>
      <c r="AM240" s="391"/>
      <c r="AN240" s="391"/>
      <c r="AO240" s="391"/>
      <c r="AP240" s="184" t="s">
        <v>335</v>
      </c>
      <c r="AQ240" s="184"/>
      <c r="AR240" s="184"/>
      <c r="AS240" s="184"/>
      <c r="AT240" s="184"/>
      <c r="AU240" s="184" t="s">
        <v>315</v>
      </c>
      <c r="AV240" s="184"/>
      <c r="AW240" s="184"/>
      <c r="AX240" s="184"/>
      <c r="AY240" s="184"/>
      <c r="AZ240" s="184" t="s">
        <v>337</v>
      </c>
      <c r="BA240" s="184"/>
      <c r="BB240" s="184"/>
      <c r="BC240" s="184"/>
      <c r="BD240" s="184"/>
      <c r="BE240" s="184" t="s">
        <v>338</v>
      </c>
      <c r="BF240" s="184"/>
      <c r="BG240" s="184"/>
      <c r="BH240" s="184"/>
      <c r="BI240" s="184"/>
      <c r="BJ240" s="184" t="s">
        <v>339</v>
      </c>
      <c r="BK240" s="184"/>
      <c r="BL240" s="184"/>
      <c r="BM240" s="184"/>
      <c r="BN240" s="184"/>
      <c r="BO240" s="184" t="s">
        <v>338</v>
      </c>
      <c r="BP240" s="184"/>
      <c r="BQ240" s="184"/>
      <c r="BR240" s="184"/>
      <c r="BS240" s="189"/>
    </row>
    <row r="241" spans="3:71" ht="15" x14ac:dyDescent="0.2">
      <c r="C241" s="364" t="s">
        <v>75</v>
      </c>
      <c r="D241" s="365"/>
      <c r="E241" s="366"/>
      <c r="F241" s="246"/>
      <c r="G241" s="221"/>
      <c r="H241" s="221"/>
      <c r="I241" s="221"/>
      <c r="J241" s="221"/>
      <c r="K241" s="221"/>
      <c r="L241" s="221"/>
      <c r="M241" s="363"/>
      <c r="N241" s="438"/>
      <c r="O241" s="219"/>
      <c r="P241" s="219"/>
      <c r="AJ241" s="380" t="s">
        <v>312</v>
      </c>
      <c r="AK241" s="392"/>
      <c r="AL241" s="392"/>
      <c r="AM241" s="392"/>
      <c r="AN241" s="392"/>
      <c r="AO241" s="392"/>
      <c r="AP241" s="123" t="s">
        <v>336</v>
      </c>
      <c r="AQ241" s="123"/>
      <c r="AR241" s="123"/>
      <c r="AS241" s="123"/>
      <c r="AT241" s="123"/>
      <c r="AU241" s="123" t="s">
        <v>340</v>
      </c>
      <c r="AV241" s="123"/>
      <c r="AW241" s="123"/>
      <c r="AX241" s="123"/>
      <c r="AY241" s="123"/>
      <c r="AZ241" s="123" t="s">
        <v>341</v>
      </c>
      <c r="BA241" s="123"/>
      <c r="BB241" s="123"/>
      <c r="BC241" s="123"/>
      <c r="BD241" s="123"/>
      <c r="BE241" s="123" t="s">
        <v>358</v>
      </c>
      <c r="BF241" s="123"/>
      <c r="BG241" s="123"/>
      <c r="BH241" s="123"/>
      <c r="BI241" s="123"/>
      <c r="BJ241" s="123" t="s">
        <v>342</v>
      </c>
      <c r="BK241" s="123"/>
      <c r="BL241" s="123"/>
      <c r="BM241" s="123"/>
      <c r="BN241" s="123"/>
      <c r="BO241" s="123" t="s">
        <v>343</v>
      </c>
      <c r="BP241" s="123"/>
      <c r="BQ241" s="123"/>
      <c r="BR241" s="123"/>
      <c r="BS241" s="190"/>
    </row>
    <row r="242" spans="3:71" ht="15.75" thickBot="1" x14ac:dyDescent="0.25">
      <c r="C242" s="367"/>
      <c r="D242" s="368"/>
      <c r="E242" s="369"/>
      <c r="F242" s="247"/>
      <c r="G242" s="221"/>
      <c r="H242" s="221"/>
      <c r="I242" s="221"/>
      <c r="J242" s="221"/>
      <c r="K242" s="221"/>
      <c r="L242" s="221"/>
      <c r="M242" s="363"/>
      <c r="N242" s="439"/>
      <c r="O242" s="219"/>
      <c r="P242" s="219"/>
      <c r="AJ242" s="387" t="s">
        <v>317</v>
      </c>
      <c r="AK242" s="388"/>
      <c r="AL242" s="388"/>
      <c r="AM242" s="388"/>
      <c r="AN242" s="388"/>
      <c r="AO242" s="388"/>
      <c r="AP242" s="186" t="s">
        <v>344</v>
      </c>
      <c r="AQ242" s="186"/>
      <c r="AR242" s="186"/>
      <c r="AS242" s="186"/>
      <c r="AT242" s="186"/>
      <c r="AU242" s="186" t="s">
        <v>345</v>
      </c>
      <c r="AV242" s="186"/>
      <c r="AW242" s="186"/>
      <c r="AX242" s="186"/>
      <c r="AY242" s="186"/>
      <c r="AZ242" s="186" t="s">
        <v>346</v>
      </c>
      <c r="BA242" s="186"/>
      <c r="BB242" s="186"/>
      <c r="BC242" s="186"/>
      <c r="BD242" s="186"/>
      <c r="BE242" s="186" t="s">
        <v>357</v>
      </c>
      <c r="BF242" s="186"/>
      <c r="BG242" s="186"/>
      <c r="BH242" s="186"/>
      <c r="BI242" s="186"/>
      <c r="BJ242" s="186" t="s">
        <v>347</v>
      </c>
      <c r="BK242" s="186"/>
      <c r="BL242" s="186"/>
      <c r="BM242" s="186"/>
      <c r="BN242" s="186"/>
      <c r="BO242" s="186" t="s">
        <v>348</v>
      </c>
      <c r="BP242" s="186"/>
      <c r="BQ242" s="186"/>
      <c r="BR242" s="186"/>
      <c r="BS242" s="188"/>
    </row>
    <row r="243" spans="3:71" ht="15.75" thickBot="1" x14ac:dyDescent="0.25">
      <c r="C243" s="370"/>
      <c r="D243" s="371"/>
      <c r="E243" s="372"/>
      <c r="F243" s="248"/>
      <c r="G243" s="221"/>
      <c r="H243" s="221"/>
      <c r="I243" s="221"/>
      <c r="J243" s="221"/>
      <c r="K243" s="221"/>
      <c r="L243" s="221"/>
      <c r="M243" s="363"/>
      <c r="N243" s="440"/>
      <c r="O243" s="219"/>
      <c r="P243" s="219"/>
    </row>
    <row r="244" spans="3:71" ht="15" x14ac:dyDescent="0.2">
      <c r="C244" s="364" t="s">
        <v>76</v>
      </c>
      <c r="D244" s="365"/>
      <c r="E244" s="366"/>
      <c r="F244" s="246"/>
      <c r="G244" s="221"/>
      <c r="H244" s="221"/>
      <c r="I244" s="221"/>
      <c r="J244" s="221"/>
      <c r="K244" s="221"/>
      <c r="L244" s="221"/>
      <c r="M244" s="363"/>
      <c r="N244" s="438"/>
      <c r="O244" s="219"/>
      <c r="P244" s="219"/>
    </row>
    <row r="245" spans="3:71" ht="15" x14ac:dyDescent="0.2">
      <c r="C245" s="367"/>
      <c r="D245" s="368"/>
      <c r="E245" s="369"/>
      <c r="F245" s="247"/>
      <c r="G245" s="221"/>
      <c r="H245" s="221"/>
      <c r="I245" s="221"/>
      <c r="J245" s="221"/>
      <c r="K245" s="221"/>
      <c r="L245" s="221"/>
      <c r="M245" s="363"/>
      <c r="N245" s="439"/>
      <c r="O245" s="219"/>
      <c r="P245" s="219"/>
      <c r="AJ245" s="389" t="s">
        <v>349</v>
      </c>
      <c r="AK245" s="390"/>
      <c r="AL245" s="390"/>
      <c r="BB245" s="395" t="s">
        <v>350</v>
      </c>
      <c r="BC245" s="395"/>
      <c r="BD245" s="395"/>
    </row>
    <row r="246" spans="3:71" ht="15.75" thickBot="1" x14ac:dyDescent="0.25">
      <c r="C246" s="370"/>
      <c r="D246" s="371"/>
      <c r="E246" s="372"/>
      <c r="F246" s="248"/>
      <c r="G246" s="221"/>
      <c r="H246" s="221"/>
      <c r="I246" s="221"/>
      <c r="J246" s="221"/>
      <c r="K246" s="221"/>
      <c r="L246" s="221"/>
      <c r="M246" s="363"/>
      <c r="N246" s="440"/>
      <c r="O246" s="219"/>
      <c r="P246" s="219"/>
      <c r="AJ246" s="194"/>
      <c r="AK246" s="195"/>
      <c r="AL246" s="195" t="s">
        <v>351</v>
      </c>
      <c r="AM246" s="187"/>
      <c r="AN246" s="187"/>
      <c r="AO246" s="187"/>
      <c r="AP246" s="106"/>
      <c r="BC246" s="195" t="s">
        <v>351</v>
      </c>
    </row>
    <row r="247" spans="3:71" ht="15" x14ac:dyDescent="0.2">
      <c r="C247" s="416" t="s">
        <v>77</v>
      </c>
      <c r="D247" s="417"/>
      <c r="E247" s="418"/>
      <c r="F247" s="246"/>
      <c r="G247" s="221"/>
      <c r="H247" s="221"/>
      <c r="I247" s="221"/>
      <c r="J247" s="221"/>
      <c r="K247" s="221"/>
      <c r="L247" s="221"/>
      <c r="M247" s="363"/>
      <c r="N247" s="438"/>
      <c r="O247" s="219"/>
      <c r="P247" s="219"/>
      <c r="AL247" s="201">
        <v>4</v>
      </c>
      <c r="AM247" s="378" t="s">
        <v>141</v>
      </c>
      <c r="AN247" s="379"/>
      <c r="AO247" s="106"/>
      <c r="AP247" s="106"/>
      <c r="BB247" s="209">
        <v>13</v>
      </c>
      <c r="BC247" s="396" t="s">
        <v>141</v>
      </c>
      <c r="BD247" s="397"/>
    </row>
    <row r="248" spans="3:71" ht="15" x14ac:dyDescent="0.2">
      <c r="C248" s="419"/>
      <c r="D248" s="363"/>
      <c r="E248" s="420"/>
      <c r="F248" s="247"/>
      <c r="G248" s="221"/>
      <c r="H248" s="221"/>
      <c r="I248" s="221"/>
      <c r="J248" s="221"/>
      <c r="K248" s="221"/>
      <c r="L248" s="221"/>
      <c r="M248" s="363"/>
      <c r="N248" s="439"/>
      <c r="O248" s="219"/>
      <c r="P248" s="219"/>
      <c r="AL248" s="202">
        <v>8</v>
      </c>
      <c r="AM248" s="380" t="s">
        <v>140</v>
      </c>
      <c r="AN248" s="381"/>
      <c r="AO248" s="106"/>
      <c r="AP248" s="106"/>
      <c r="BB248" s="210">
        <v>17</v>
      </c>
      <c r="BC248" s="398" t="s">
        <v>140</v>
      </c>
      <c r="BD248" s="399"/>
    </row>
    <row r="249" spans="3:71" ht="15.75" thickBot="1" x14ac:dyDescent="0.25">
      <c r="C249" s="421"/>
      <c r="D249" s="413"/>
      <c r="E249" s="422"/>
      <c r="F249" s="248"/>
      <c r="G249" s="221"/>
      <c r="H249" s="221"/>
      <c r="I249" s="221"/>
      <c r="J249" s="221"/>
      <c r="K249" s="221"/>
      <c r="L249" s="221"/>
      <c r="M249" s="363"/>
      <c r="N249" s="440"/>
      <c r="O249" s="219"/>
      <c r="P249" s="219"/>
      <c r="AL249" s="203">
        <v>12</v>
      </c>
      <c r="AM249" s="378" t="s">
        <v>298</v>
      </c>
      <c r="AN249" s="382"/>
      <c r="AO249" s="106"/>
      <c r="AP249" s="106"/>
      <c r="BB249" s="211">
        <v>20</v>
      </c>
      <c r="BC249" s="396" t="s">
        <v>298</v>
      </c>
      <c r="BD249" s="400"/>
    </row>
    <row r="250" spans="3:71" ht="15" x14ac:dyDescent="0.2">
      <c r="C250" s="364" t="s">
        <v>78</v>
      </c>
      <c r="D250" s="365"/>
      <c r="E250" s="366"/>
      <c r="F250" s="246"/>
      <c r="G250" s="221"/>
      <c r="H250" s="221"/>
      <c r="I250" s="221"/>
      <c r="J250" s="221"/>
      <c r="K250" s="221"/>
      <c r="L250" s="221"/>
      <c r="M250" s="363"/>
      <c r="N250" s="438"/>
      <c r="O250" s="219"/>
      <c r="P250" s="219"/>
      <c r="AL250" s="202">
        <v>14</v>
      </c>
      <c r="AM250" s="380" t="s">
        <v>303</v>
      </c>
      <c r="AN250" s="381"/>
      <c r="AO250" s="106"/>
      <c r="AP250" s="106"/>
      <c r="AX250" s="42" t="s">
        <v>138</v>
      </c>
      <c r="BB250" s="210">
        <v>23</v>
      </c>
      <c r="BC250" s="398" t="s">
        <v>303</v>
      </c>
      <c r="BD250" s="399"/>
    </row>
    <row r="251" spans="3:71" ht="15" x14ac:dyDescent="0.2">
      <c r="C251" s="367"/>
      <c r="D251" s="368"/>
      <c r="E251" s="369"/>
      <c r="F251" s="247"/>
      <c r="G251" s="221"/>
      <c r="H251" s="221"/>
      <c r="I251" s="221"/>
      <c r="J251" s="221"/>
      <c r="K251" s="221"/>
      <c r="L251" s="221"/>
      <c r="M251" s="363"/>
      <c r="N251" s="439"/>
      <c r="O251" s="219"/>
      <c r="P251" s="219"/>
      <c r="AL251" s="203">
        <v>14</v>
      </c>
      <c r="AM251" s="378" t="s">
        <v>307</v>
      </c>
      <c r="AN251" s="382"/>
      <c r="AO251" s="106"/>
      <c r="AP251" s="106"/>
      <c r="AV251" s="42" t="s">
        <v>133</v>
      </c>
      <c r="AX251" s="216" t="str">
        <f>F98</f>
        <v>-</v>
      </c>
      <c r="BB251" s="211">
        <v>26</v>
      </c>
      <c r="BC251" s="396" t="s">
        <v>307</v>
      </c>
      <c r="BD251" s="400"/>
    </row>
    <row r="252" spans="3:71" ht="15.75" thickBot="1" x14ac:dyDescent="0.25">
      <c r="C252" s="370"/>
      <c r="D252" s="371"/>
      <c r="E252" s="372"/>
      <c r="F252" s="248"/>
      <c r="G252" s="221"/>
      <c r="H252" s="221"/>
      <c r="I252" s="221"/>
      <c r="J252" s="221"/>
      <c r="K252" s="221"/>
      <c r="L252" s="221"/>
      <c r="M252" s="363"/>
      <c r="N252" s="440"/>
      <c r="O252" s="219"/>
      <c r="P252" s="219"/>
      <c r="AL252" s="202">
        <v>20</v>
      </c>
      <c r="AM252" s="380" t="s">
        <v>312</v>
      </c>
      <c r="AN252" s="381"/>
      <c r="AO252" s="106"/>
      <c r="AP252" s="106"/>
      <c r="AT252" s="42" t="s">
        <v>132</v>
      </c>
      <c r="AV252" s="196" t="str">
        <f>N9</f>
        <v>-</v>
      </c>
      <c r="BB252" s="210">
        <v>29</v>
      </c>
      <c r="BC252" s="398" t="s">
        <v>312</v>
      </c>
      <c r="BD252" s="399"/>
    </row>
    <row r="253" spans="3:71" ht="15.75" thickBot="1" x14ac:dyDescent="0.25">
      <c r="C253" s="416" t="s">
        <v>79</v>
      </c>
      <c r="D253" s="417"/>
      <c r="E253" s="418"/>
      <c r="F253" s="246"/>
      <c r="G253" s="221"/>
      <c r="H253" s="221"/>
      <c r="I253" s="221"/>
      <c r="J253" s="221"/>
      <c r="K253" s="221"/>
      <c r="L253" s="221"/>
      <c r="M253" s="363"/>
      <c r="N253" s="438"/>
      <c r="O253" s="219"/>
      <c r="P253" s="219"/>
      <c r="AL253" s="204">
        <v>26</v>
      </c>
      <c r="AM253" s="378" t="s">
        <v>317</v>
      </c>
      <c r="AN253" s="382"/>
      <c r="AO253" s="106"/>
      <c r="AP253" s="106"/>
      <c r="AT253" s="42">
        <f>IF(L9="feminino",0,1)</f>
        <v>1</v>
      </c>
      <c r="BB253" s="212">
        <v>33</v>
      </c>
      <c r="BC253" s="396" t="s">
        <v>317</v>
      </c>
      <c r="BD253" s="400"/>
    </row>
    <row r="254" spans="3:71" ht="15.75" thickBot="1" x14ac:dyDescent="0.25">
      <c r="C254" s="419"/>
      <c r="D254" s="363"/>
      <c r="E254" s="420"/>
      <c r="F254" s="247"/>
      <c r="G254" s="221"/>
      <c r="H254" s="221"/>
      <c r="I254" s="221"/>
      <c r="J254" s="221"/>
      <c r="K254" s="221"/>
      <c r="L254" s="221"/>
      <c r="M254" s="363"/>
      <c r="N254" s="439"/>
      <c r="O254" s="219"/>
      <c r="P254" s="219"/>
      <c r="AN254" s="106"/>
      <c r="AO254" s="106"/>
      <c r="AP254" s="106"/>
    </row>
    <row r="255" spans="3:71" ht="15.75" thickBot="1" x14ac:dyDescent="0.25">
      <c r="C255" s="421"/>
      <c r="D255" s="413"/>
      <c r="E255" s="422"/>
      <c r="F255" s="248"/>
      <c r="G255" s="221"/>
      <c r="H255" s="221"/>
      <c r="I255" s="221"/>
      <c r="J255" s="221"/>
      <c r="K255" s="221"/>
      <c r="L255" s="221"/>
      <c r="M255" s="363"/>
      <c r="N255" s="440"/>
      <c r="O255" s="219"/>
      <c r="P255" s="219"/>
      <c r="AJ255" s="194"/>
      <c r="AK255" s="195"/>
      <c r="AL255" s="192" t="s">
        <v>352</v>
      </c>
      <c r="AN255" s="187"/>
      <c r="AO255" s="187"/>
      <c r="AP255" s="106"/>
      <c r="BC255" s="192" t="s">
        <v>352</v>
      </c>
    </row>
    <row r="256" spans="3:71" ht="15" x14ac:dyDescent="0.2">
      <c r="C256" s="367" t="s">
        <v>80</v>
      </c>
      <c r="D256" s="368"/>
      <c r="E256" s="368"/>
      <c r="F256" s="246"/>
      <c r="G256" s="221"/>
      <c r="H256" s="221"/>
      <c r="I256" s="221"/>
      <c r="J256" s="221"/>
      <c r="K256" s="221"/>
      <c r="L256" s="221"/>
      <c r="M256" s="363"/>
      <c r="N256" s="438"/>
      <c r="O256" s="219"/>
      <c r="P256" s="219"/>
      <c r="AL256" s="197">
        <v>8</v>
      </c>
      <c r="AM256" s="378" t="s">
        <v>141</v>
      </c>
      <c r="AN256" s="379"/>
      <c r="AO256" s="119"/>
      <c r="AP256" s="217"/>
      <c r="AT256" s="79"/>
      <c r="AU256" s="79"/>
      <c r="AV256" s="79"/>
      <c r="AW256" s="79"/>
      <c r="BB256" s="205">
        <v>14</v>
      </c>
      <c r="BC256" s="378" t="s">
        <v>141</v>
      </c>
      <c r="BD256" s="379"/>
    </row>
    <row r="257" spans="3:56" ht="15" x14ac:dyDescent="0.2">
      <c r="C257" s="367"/>
      <c r="D257" s="368"/>
      <c r="E257" s="368"/>
      <c r="F257" s="247"/>
      <c r="G257" s="221"/>
      <c r="H257" s="221"/>
      <c r="I257" s="221"/>
      <c r="J257" s="221"/>
      <c r="K257" s="221"/>
      <c r="L257" s="221"/>
      <c r="M257" s="363"/>
      <c r="N257" s="439"/>
      <c r="O257" s="219"/>
      <c r="P257" s="219"/>
      <c r="AL257" s="198">
        <v>12</v>
      </c>
      <c r="AM257" s="380" t="s">
        <v>140</v>
      </c>
      <c r="AN257" s="381"/>
      <c r="AO257" s="119"/>
      <c r="AP257" s="217"/>
      <c r="AT257" s="79"/>
      <c r="AU257" s="79" t="s">
        <v>359</v>
      </c>
      <c r="AV257" s="79"/>
      <c r="AW257" s="79"/>
      <c r="BB257" s="206">
        <v>18</v>
      </c>
      <c r="BC257" s="380" t="s">
        <v>140</v>
      </c>
      <c r="BD257" s="381"/>
    </row>
    <row r="258" spans="3:56" ht="15.75" thickBot="1" x14ac:dyDescent="0.25">
      <c r="C258" s="367"/>
      <c r="D258" s="368"/>
      <c r="E258" s="368"/>
      <c r="F258" s="248"/>
      <c r="G258" s="221"/>
      <c r="H258" s="221"/>
      <c r="I258" s="221"/>
      <c r="J258" s="221"/>
      <c r="K258" s="221"/>
      <c r="L258" s="221"/>
      <c r="M258" s="363"/>
      <c r="N258" s="440"/>
      <c r="O258" s="219"/>
      <c r="P258" s="219"/>
      <c r="Z258" t="s">
        <v>90</v>
      </c>
      <c r="AL258" s="199">
        <v>16</v>
      </c>
      <c r="AM258" s="378" t="s">
        <v>298</v>
      </c>
      <c r="AN258" s="382"/>
      <c r="AO258" s="119"/>
      <c r="AP258" s="217"/>
      <c r="AT258" s="79"/>
      <c r="AU258" s="386" t="e">
        <f>IF(AND(AT253=0,AV252&lt;=25),VLOOKUP(AX251,BB247:BD253,2,TRUE),IF(AND(AT253=0,AV252&lt;=35),VLOOKUP(AX251,BB256:BD262,2,TRUE),IF(AND(AT253=0,AV252&lt;=45),VLOOKUP(AX251,BB265:BD271,2,TRUE),IF(AND(AT253=0,AV252&lt;=55),VLOOKUP(AX251,BB274:BD280,2,TRUE),IF(AND(AT253=0,AV252&lt;=65),VLOOKUP(AX251,BB283:BD289,2,TRUE),IF(AND(AT253=0,AV252&gt;=65),VLOOKUP(AX251,BB292:BD298,2,TRUE),IF(AND(AT253=1,AV252&lt;=25),VLOOKUP(AX251,AL247:AN253,2,TRUE),IF(AND(AT253=1,AV252&lt;=35),VLOOKUP(AX251,AL256:AN262,2,TRUE),IF(AND(AT253=1,AV252&lt;=45),VLOOKUP(AX251,AL265:AN271,2,TRUE),IF(AND(AT253=1,AV252&lt;=55),VLOOKUP(AX251,AL274:AN280,2,TRUE),IF(AND(AT253=1,AV252&lt;=65),VLOOKUP(AX251,AL283:AN289,2,TRUE),IF(AND(AT253=1,AV252&gt;=65),VLOOKUP(AX251,AL292:AN298,2,TRUE),"-"))))))))))))</f>
        <v>#N/A</v>
      </c>
      <c r="AV258" s="386"/>
      <c r="AW258" s="79"/>
      <c r="BB258" s="207">
        <v>21</v>
      </c>
      <c r="BC258" s="378" t="s">
        <v>298</v>
      </c>
      <c r="BD258" s="382"/>
    </row>
    <row r="259" spans="3:56" ht="15" x14ac:dyDescent="0.2">
      <c r="C259" s="364" t="s">
        <v>81</v>
      </c>
      <c r="D259" s="365"/>
      <c r="E259" s="366"/>
      <c r="F259" s="246"/>
      <c r="G259" s="221"/>
      <c r="H259" s="221"/>
      <c r="I259" s="221"/>
      <c r="J259" s="221"/>
      <c r="K259" s="221"/>
      <c r="L259" s="221"/>
      <c r="M259" s="363"/>
      <c r="N259" s="438"/>
      <c r="O259" s="219"/>
      <c r="P259" s="219"/>
      <c r="Y259" s="310">
        <v>0</v>
      </c>
      <c r="Z259" t="s">
        <v>87</v>
      </c>
      <c r="AL259" s="198">
        <v>18</v>
      </c>
      <c r="AM259" s="380" t="s">
        <v>303</v>
      </c>
      <c r="AN259" s="381"/>
      <c r="AO259" s="119"/>
      <c r="AP259" s="217"/>
      <c r="AT259" s="79"/>
      <c r="AU259" s="79"/>
      <c r="AV259" s="79"/>
      <c r="AW259" s="79"/>
      <c r="BB259" s="206">
        <v>24</v>
      </c>
      <c r="BC259" s="380" t="s">
        <v>303</v>
      </c>
      <c r="BD259" s="381"/>
    </row>
    <row r="260" spans="3:56" ht="15" x14ac:dyDescent="0.2">
      <c r="C260" s="367"/>
      <c r="D260" s="368"/>
      <c r="E260" s="369"/>
      <c r="F260" s="247"/>
      <c r="G260" s="221"/>
      <c r="H260" s="221"/>
      <c r="I260" s="221"/>
      <c r="J260" s="221"/>
      <c r="K260" s="221"/>
      <c r="L260" s="221"/>
      <c r="M260" s="363"/>
      <c r="N260" s="439"/>
      <c r="O260" s="219"/>
      <c r="P260" s="219"/>
      <c r="Y260" s="310">
        <v>21</v>
      </c>
      <c r="Z260" t="s">
        <v>63</v>
      </c>
      <c r="AL260" s="199">
        <v>22</v>
      </c>
      <c r="AM260" s="378" t="s">
        <v>307</v>
      </c>
      <c r="AN260" s="382"/>
      <c r="AO260" s="119"/>
      <c r="AP260" s="217"/>
      <c r="BB260" s="207">
        <v>27</v>
      </c>
      <c r="BC260" s="378" t="s">
        <v>307</v>
      </c>
      <c r="BD260" s="382"/>
    </row>
    <row r="261" spans="3:56" ht="15.75" thickBot="1" x14ac:dyDescent="0.25">
      <c r="C261" s="370"/>
      <c r="D261" s="371"/>
      <c r="E261" s="372"/>
      <c r="F261" s="248"/>
      <c r="G261" s="221"/>
      <c r="H261" s="221"/>
      <c r="I261" s="221"/>
      <c r="J261" s="221"/>
      <c r="K261" s="221"/>
      <c r="L261" s="221"/>
      <c r="M261" s="363"/>
      <c r="N261" s="440"/>
      <c r="O261" s="219"/>
      <c r="P261" s="219"/>
      <c r="Y261" s="310">
        <v>31</v>
      </c>
      <c r="Z261" t="s">
        <v>85</v>
      </c>
      <c r="AL261" s="198">
        <v>24</v>
      </c>
      <c r="AM261" s="380" t="s">
        <v>312</v>
      </c>
      <c r="AN261" s="381"/>
      <c r="AO261" s="119"/>
      <c r="AP261" s="217"/>
      <c r="BB261" s="206">
        <v>31</v>
      </c>
      <c r="BC261" s="380" t="s">
        <v>312</v>
      </c>
      <c r="BD261" s="381"/>
    </row>
    <row r="262" spans="3:56" ht="15.75" thickBot="1" x14ac:dyDescent="0.25">
      <c r="C262" s="367" t="s">
        <v>82</v>
      </c>
      <c r="D262" s="368"/>
      <c r="E262" s="368"/>
      <c r="F262" s="246"/>
      <c r="G262" s="221"/>
      <c r="H262" s="221"/>
      <c r="I262" s="221"/>
      <c r="J262" s="221"/>
      <c r="K262" s="221"/>
      <c r="L262" s="221"/>
      <c r="M262" s="363"/>
      <c r="N262" s="458"/>
      <c r="O262" s="219"/>
      <c r="P262" s="219"/>
      <c r="Y262" s="310">
        <v>41</v>
      </c>
      <c r="Z262" t="s">
        <v>86</v>
      </c>
      <c r="AL262" s="200">
        <v>28</v>
      </c>
      <c r="AM262" s="378" t="s">
        <v>317</v>
      </c>
      <c r="AN262" s="382"/>
      <c r="AO262" s="119"/>
      <c r="AP262" s="217"/>
      <c r="BB262" s="208">
        <v>36</v>
      </c>
      <c r="BC262" s="378" t="s">
        <v>317</v>
      </c>
      <c r="BD262" s="382"/>
    </row>
    <row r="263" spans="3:56" ht="15.75" thickBot="1" x14ac:dyDescent="0.25">
      <c r="C263" s="367"/>
      <c r="D263" s="368"/>
      <c r="E263" s="368"/>
      <c r="F263" s="247"/>
      <c r="G263" s="221"/>
      <c r="H263" s="221"/>
      <c r="I263" s="221"/>
      <c r="J263" s="221"/>
      <c r="K263" s="221"/>
      <c r="L263" s="221"/>
      <c r="M263" s="363"/>
      <c r="N263" s="458"/>
      <c r="O263" s="219"/>
      <c r="P263" s="219"/>
      <c r="Y263" s="310">
        <v>51</v>
      </c>
      <c r="Z263" t="s">
        <v>88</v>
      </c>
      <c r="AN263" s="106"/>
      <c r="AO263" s="106"/>
      <c r="AP263" s="106"/>
    </row>
    <row r="264" spans="3:56" ht="15.75" thickBot="1" x14ac:dyDescent="0.25">
      <c r="C264" s="370"/>
      <c r="D264" s="371"/>
      <c r="E264" s="371"/>
      <c r="F264" s="282"/>
      <c r="G264" s="279"/>
      <c r="H264" s="279"/>
      <c r="I264" s="279"/>
      <c r="J264" s="279"/>
      <c r="K264" s="279"/>
      <c r="L264" s="279"/>
      <c r="M264" s="413"/>
      <c r="N264" s="459"/>
      <c r="O264" s="219"/>
      <c r="P264" s="219"/>
      <c r="Y264" s="310">
        <v>60</v>
      </c>
      <c r="Z264" t="s">
        <v>89</v>
      </c>
      <c r="AJ264" s="194"/>
      <c r="AK264" s="195"/>
      <c r="AL264" s="192" t="s">
        <v>353</v>
      </c>
      <c r="AN264" s="187"/>
      <c r="AO264" s="187"/>
      <c r="AP264" s="106"/>
      <c r="BB264" s="192" t="s">
        <v>353</v>
      </c>
    </row>
    <row r="265" spans="3:56" ht="15" x14ac:dyDescent="0.2"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AL265" s="205">
        <v>10</v>
      </c>
      <c r="AM265" s="378" t="s">
        <v>141</v>
      </c>
      <c r="AN265" s="379"/>
      <c r="AO265" s="106"/>
      <c r="AP265" s="106"/>
      <c r="BB265" s="205">
        <v>16</v>
      </c>
      <c r="BC265" s="378" t="s">
        <v>141</v>
      </c>
      <c r="BD265" s="379"/>
    </row>
    <row r="266" spans="3:56" ht="15" x14ac:dyDescent="0.2">
      <c r="C266" s="410" t="s">
        <v>84</v>
      </c>
      <c r="D266" s="410"/>
      <c r="E266" s="410"/>
      <c r="F266" s="410"/>
      <c r="G266" s="411" t="str">
        <f>IF(M266&gt;0,VLOOKUP(M266,Y259:AA264,2,TRUE),"-")</f>
        <v>-</v>
      </c>
      <c r="H266" s="412"/>
      <c r="I266" s="219"/>
      <c r="J266" s="219"/>
      <c r="K266" s="410" t="s">
        <v>83</v>
      </c>
      <c r="L266" s="410"/>
      <c r="M266" s="446">
        <f>SUM(N220:N264)</f>
        <v>0</v>
      </c>
      <c r="N266" s="431"/>
      <c r="O266" s="219"/>
      <c r="P266" s="219"/>
      <c r="AL266" s="206">
        <v>16</v>
      </c>
      <c r="AM266" s="380" t="s">
        <v>140</v>
      </c>
      <c r="AN266" s="381"/>
      <c r="AO266" s="106"/>
      <c r="AP266" s="106"/>
      <c r="AW266" s="79" t="str">
        <f>IF(AND(CQ23=0,CS22&lt;=19),VLOOKUP(CU21,CP27:CQ31,2,TRUE),IF(AND(CQ23=0,CS22&lt;=29),VLOOKUP(CU21,CP34:CQ38,2,TRUE),IF(AND(CQ23=0,CS22&lt;=39),VLOOKUP(CU21,CP40:CQ44,2,TRUE),IF(AND(CQ23=0,CS22&lt;=49),VLOOKUP(CU21,CP46:CQ50,2,TRUE),IF(AND(CQ23=0,CS22&lt;=59),VLOOKUP(CU21,CP52:CQ56,2,TRUE),IF(AND(CQ23=0,CS22&lt;=69),VLOOKUP(CU21,CP59:CQ63,2,TRUE),IF(AND(CQ23=1,CS22&lt;=19),VLOOKUP(CU21,CS33:CT37,2,TRUE),IF(AND(CQ23=1,CS22&lt;=29),VLOOKUP(CU21,CS40:CT44,2,TRUE),IF(AND(CQ23=1,CS22&lt;=39),VLOOKUP(CU21,CS46:CT50,2,TRUE),IF(AND(CQ23=1,CS22&lt;=49),VLOOKUP(CU21,CS52:CT56,2,TRUE),IF(AND(CQ23=1,CS22&lt;=59),VLOOKUP(CU21,CS58:CT62,2,TRUE),IF(AND(CQ23=1,CS22&lt;=69),VLOOKUP(CU21,CS65:CT69,2,TRUE),"-"))))))))))))</f>
        <v>-</v>
      </c>
      <c r="BB266" s="206">
        <v>20</v>
      </c>
      <c r="BC266" s="380" t="s">
        <v>140</v>
      </c>
      <c r="BD266" s="381"/>
    </row>
    <row r="267" spans="3:56" ht="15" x14ac:dyDescent="0.2"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AL267" s="207">
        <v>19</v>
      </c>
      <c r="AM267" s="378" t="s">
        <v>298</v>
      </c>
      <c r="AN267" s="382"/>
      <c r="AO267" s="106"/>
      <c r="AP267" s="106"/>
      <c r="BB267" s="207">
        <v>24</v>
      </c>
      <c r="BC267" s="378" t="s">
        <v>298</v>
      </c>
      <c r="BD267" s="382"/>
    </row>
    <row r="268" spans="3:56" ht="15" x14ac:dyDescent="0.2"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AL268" s="206">
        <v>21</v>
      </c>
      <c r="AM268" s="380" t="s">
        <v>303</v>
      </c>
      <c r="AN268" s="381"/>
      <c r="AO268" s="106"/>
      <c r="AP268" s="106"/>
      <c r="BB268" s="206">
        <v>27</v>
      </c>
      <c r="BC268" s="380" t="s">
        <v>303</v>
      </c>
      <c r="BD268" s="381"/>
    </row>
    <row r="269" spans="3:56" ht="15" x14ac:dyDescent="0.2">
      <c r="C269" s="362" t="s">
        <v>213</v>
      </c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AL269" s="207">
        <v>24</v>
      </c>
      <c r="AM269" s="378" t="s">
        <v>307</v>
      </c>
      <c r="AN269" s="382"/>
      <c r="AO269" s="106"/>
      <c r="AP269" s="106"/>
      <c r="BB269" s="207">
        <v>30</v>
      </c>
      <c r="BC269" s="378" t="s">
        <v>307</v>
      </c>
      <c r="BD269" s="382"/>
    </row>
    <row r="270" spans="3:56" ht="15" x14ac:dyDescent="0.2">
      <c r="C270" s="238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7"/>
      <c r="AL270" s="206">
        <v>27</v>
      </c>
      <c r="AM270" s="380" t="s">
        <v>312</v>
      </c>
      <c r="AN270" s="381"/>
      <c r="AO270" s="106"/>
      <c r="AP270" s="106"/>
      <c r="AU270" t="str">
        <f>IF(AND(CO27=0,CQ26&lt;=19),VLOOKUP(CS25,CN31:CO35,2,TRUE),IF(AND(CO27=0,CQ26&lt;=29),VLOOKUP(CS25,CN38:CO42,2,TRUE),IF(AND(CO27=0,CQ26&lt;=39),VLOOKUP(CS25,CN44:CO48,2,TRUE),IF(AND(CO27=0,CQ26&lt;=49),VLOOKUP(CS25,CN50:CO54,2,TRUE),IF(AND(CO27=0,CQ26&lt;=59),VLOOKUP(CS25,CN56:CO60,2,TRUE),IF(AND(CO27=0,CQ26&lt;=69),VLOOKUP(CS25,CN63:CO67,2,TRUE),IF(AND(CO27=1,CQ26&lt;=19),VLOOKUP(CS25,CQ37:CR41,2,TRUE),IF(AND(CO27=1,CQ26&lt;=29),VLOOKUP(CS25,CQ44:CR48,2,TRUE),IF(AND(CO27=1,CQ26&lt;=39),VLOOKUP(CS25,CQ50:CR54,2,TRUE),IF(AND(CO27=1,CQ26&lt;=49),VLOOKUP(CS25,CQ56:CR60,2,TRUE),IF(AND(CO27=1,CQ26&lt;=59),VLOOKUP(CS25,CQ62:CR66,2,TRUE),IF(AND(CO27=1,CQ26&lt;=69),VLOOKUP(CS25,CQ69:CR73,2,TRUE),"-"))))))))))))</f>
        <v>-</v>
      </c>
      <c r="BB270" s="206">
        <v>33</v>
      </c>
      <c r="BC270" s="380" t="s">
        <v>312</v>
      </c>
      <c r="BD270" s="381"/>
    </row>
    <row r="271" spans="3:56" ht="15.75" thickBot="1" x14ac:dyDescent="0.25">
      <c r="C271" s="240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78"/>
      <c r="AL271" s="208">
        <v>30</v>
      </c>
      <c r="AM271" s="378" t="s">
        <v>317</v>
      </c>
      <c r="AN271" s="382"/>
      <c r="AO271" s="106"/>
      <c r="AP271" s="106"/>
      <c r="BB271" s="208">
        <v>38</v>
      </c>
      <c r="BC271" s="378" t="s">
        <v>317</v>
      </c>
      <c r="BD271" s="382"/>
    </row>
    <row r="272" spans="3:56" ht="15.75" thickBot="1" x14ac:dyDescent="0.25">
      <c r="C272" s="240"/>
      <c r="D272" s="221"/>
      <c r="E272" s="221"/>
      <c r="F272" s="221"/>
      <c r="G272" s="221"/>
      <c r="H272" s="377" t="s">
        <v>149</v>
      </c>
      <c r="I272" s="377"/>
      <c r="J272" s="377"/>
      <c r="K272" s="377"/>
      <c r="L272" s="313"/>
      <c r="M272" s="221"/>
      <c r="N272" s="221"/>
      <c r="O272" s="221"/>
      <c r="P272" s="278"/>
      <c r="AN272" s="106"/>
      <c r="AO272" s="106"/>
      <c r="AP272" s="106"/>
    </row>
    <row r="273" spans="3:56" ht="15.75" thickBot="1" x14ac:dyDescent="0.25">
      <c r="C273" s="240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78"/>
      <c r="AJ273" s="194"/>
      <c r="AK273" s="195"/>
      <c r="AL273" s="192" t="s">
        <v>354</v>
      </c>
      <c r="AN273" s="187"/>
      <c r="AO273" s="187"/>
      <c r="AP273" s="106"/>
      <c r="BB273" s="192" t="s">
        <v>354</v>
      </c>
    </row>
    <row r="274" spans="3:56" ht="15" x14ac:dyDescent="0.2">
      <c r="C274" s="240"/>
      <c r="D274" s="221"/>
      <c r="E274" s="221"/>
      <c r="F274" s="221"/>
      <c r="G274" s="221"/>
      <c r="H274" s="221"/>
      <c r="I274" s="221"/>
      <c r="J274" s="307" t="s">
        <v>150</v>
      </c>
      <c r="K274" s="221"/>
      <c r="L274" s="232" t="str">
        <f>IF(L272="","-",'Avaliação Física 3'!CH20)</f>
        <v>-</v>
      </c>
      <c r="M274" s="221"/>
      <c r="N274" s="221"/>
      <c r="O274" s="221"/>
      <c r="P274" s="278"/>
      <c r="AL274" s="205">
        <v>12</v>
      </c>
      <c r="AM274" s="378" t="s">
        <v>141</v>
      </c>
      <c r="AN274" s="379"/>
      <c r="AO274" s="106"/>
      <c r="AP274" s="106"/>
      <c r="BB274" s="205">
        <v>14</v>
      </c>
      <c r="BC274" s="378" t="s">
        <v>141</v>
      </c>
      <c r="BD274" s="379"/>
    </row>
    <row r="275" spans="3:56" ht="15" x14ac:dyDescent="0.2">
      <c r="C275" s="240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78"/>
      <c r="AL275" s="206">
        <v>18</v>
      </c>
      <c r="AM275" s="380" t="s">
        <v>140</v>
      </c>
      <c r="AN275" s="381"/>
      <c r="AO275" s="106"/>
      <c r="AP275" s="106"/>
      <c r="BB275" s="206">
        <v>23</v>
      </c>
      <c r="BC275" s="380" t="s">
        <v>140</v>
      </c>
      <c r="BD275" s="381"/>
    </row>
    <row r="276" spans="3:56" ht="15" x14ac:dyDescent="0.2">
      <c r="C276" s="241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80"/>
      <c r="AL276" s="207">
        <v>21</v>
      </c>
      <c r="AM276" s="378" t="s">
        <v>298</v>
      </c>
      <c r="AN276" s="382"/>
      <c r="AO276" s="106"/>
      <c r="AP276" s="106"/>
      <c r="BB276" s="207">
        <v>26</v>
      </c>
      <c r="BC276" s="378" t="s">
        <v>298</v>
      </c>
      <c r="BD276" s="382"/>
    </row>
    <row r="277" spans="3:56" ht="15" x14ac:dyDescent="0.2">
      <c r="AL277" s="206">
        <v>24</v>
      </c>
      <c r="AM277" s="380" t="s">
        <v>303</v>
      </c>
      <c r="AN277" s="381"/>
      <c r="AO277" s="106"/>
      <c r="AP277" s="106"/>
      <c r="BB277" s="206">
        <v>29</v>
      </c>
      <c r="BC277" s="380" t="s">
        <v>303</v>
      </c>
      <c r="BD277" s="381"/>
    </row>
    <row r="278" spans="3:56" ht="15" x14ac:dyDescent="0.2">
      <c r="C278" s="362" t="s">
        <v>214</v>
      </c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AL278" s="207">
        <v>26</v>
      </c>
      <c r="AM278" s="378" t="s">
        <v>307</v>
      </c>
      <c r="AN278" s="382"/>
      <c r="AO278" s="106"/>
      <c r="AP278" s="106"/>
      <c r="BB278" s="207">
        <v>32</v>
      </c>
      <c r="BC278" s="378" t="s">
        <v>307</v>
      </c>
      <c r="BD278" s="382"/>
    </row>
    <row r="279" spans="3:56" ht="15" x14ac:dyDescent="0.2">
      <c r="C279" s="238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7"/>
      <c r="AL279" s="206">
        <v>28</v>
      </c>
      <c r="AM279" s="380" t="s">
        <v>312</v>
      </c>
      <c r="AN279" s="381"/>
      <c r="AO279" s="106"/>
      <c r="AP279" s="106"/>
      <c r="BB279" s="206">
        <v>35</v>
      </c>
      <c r="BC279" s="380" t="s">
        <v>312</v>
      </c>
      <c r="BD279" s="381"/>
    </row>
    <row r="280" spans="3:56" ht="15.75" thickBot="1" x14ac:dyDescent="0.25">
      <c r="C280" s="240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78"/>
      <c r="AL280" s="208">
        <v>32</v>
      </c>
      <c r="AM280" s="378" t="s">
        <v>317</v>
      </c>
      <c r="AN280" s="382"/>
      <c r="AO280" s="106"/>
      <c r="AP280" s="106"/>
      <c r="BB280" s="208">
        <v>39</v>
      </c>
      <c r="BC280" s="378" t="s">
        <v>317</v>
      </c>
      <c r="BD280" s="382"/>
    </row>
    <row r="281" spans="3:56" ht="15.75" thickBot="1" x14ac:dyDescent="0.25">
      <c r="C281" s="240"/>
      <c r="D281" s="221"/>
      <c r="E281" s="221"/>
      <c r="F281" s="221"/>
      <c r="G281" s="221"/>
      <c r="H281" s="377" t="s">
        <v>149</v>
      </c>
      <c r="I281" s="377"/>
      <c r="J281" s="377"/>
      <c r="K281" s="377"/>
      <c r="L281" s="313"/>
      <c r="M281" s="221"/>
      <c r="N281" s="221"/>
      <c r="O281" s="221"/>
      <c r="P281" s="278"/>
      <c r="AN281" s="106"/>
      <c r="AO281" s="106"/>
      <c r="AP281" s="106"/>
    </row>
    <row r="282" spans="3:56" ht="15.75" thickBot="1" x14ac:dyDescent="0.25">
      <c r="C282" s="240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78"/>
      <c r="AJ282" s="194"/>
      <c r="AK282" s="195"/>
      <c r="AL282" s="192" t="s">
        <v>355</v>
      </c>
      <c r="AN282" s="187"/>
      <c r="AO282" s="187"/>
      <c r="AP282" s="106"/>
      <c r="BB282" s="192" t="s">
        <v>355</v>
      </c>
    </row>
    <row r="283" spans="3:56" ht="15" x14ac:dyDescent="0.2">
      <c r="C283" s="240"/>
      <c r="D283" s="221"/>
      <c r="E283" s="221"/>
      <c r="F283" s="221"/>
      <c r="G283" s="221"/>
      <c r="H283" s="221"/>
      <c r="I283" s="221"/>
      <c r="J283" s="307" t="s">
        <v>150</v>
      </c>
      <c r="K283" s="307"/>
      <c r="L283" s="232" t="str">
        <f>IF(L281="","-",'Avaliação Física 3'!CH12)</f>
        <v>-</v>
      </c>
      <c r="M283" s="221"/>
      <c r="N283" s="221"/>
      <c r="O283" s="221"/>
      <c r="P283" s="278"/>
      <c r="AL283" s="205">
        <v>13</v>
      </c>
      <c r="AM283" s="378" t="s">
        <v>141</v>
      </c>
      <c r="AN283" s="379"/>
      <c r="AO283" s="106"/>
      <c r="AP283" s="106"/>
      <c r="BB283" s="205">
        <v>18</v>
      </c>
      <c r="BC283" s="378" t="s">
        <v>141</v>
      </c>
      <c r="BD283" s="379"/>
    </row>
    <row r="284" spans="3:56" ht="15" x14ac:dyDescent="0.2">
      <c r="C284" s="240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78"/>
      <c r="AL284" s="206">
        <v>20</v>
      </c>
      <c r="AM284" s="380" t="s">
        <v>140</v>
      </c>
      <c r="AN284" s="381"/>
      <c r="AO284" s="106"/>
      <c r="AP284" s="106"/>
      <c r="BB284" s="206">
        <v>25</v>
      </c>
      <c r="BC284" s="380" t="s">
        <v>140</v>
      </c>
      <c r="BD284" s="381"/>
    </row>
    <row r="285" spans="3:56" ht="15" x14ac:dyDescent="0.2">
      <c r="C285" s="241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80"/>
      <c r="AL285" s="207">
        <v>22</v>
      </c>
      <c r="AM285" s="378" t="s">
        <v>298</v>
      </c>
      <c r="AN285" s="382"/>
      <c r="AO285" s="106"/>
      <c r="AP285" s="106"/>
      <c r="BB285" s="207">
        <v>27</v>
      </c>
      <c r="BC285" s="378" t="s">
        <v>298</v>
      </c>
      <c r="BD285" s="382"/>
    </row>
    <row r="286" spans="3:56" ht="15" x14ac:dyDescent="0.2">
      <c r="O286" s="91"/>
      <c r="AL286" s="206">
        <v>24</v>
      </c>
      <c r="AM286" s="380" t="s">
        <v>303</v>
      </c>
      <c r="AN286" s="381"/>
      <c r="AO286" s="106"/>
      <c r="AP286" s="106"/>
      <c r="BB286" s="206">
        <v>30</v>
      </c>
      <c r="BC286" s="380" t="s">
        <v>303</v>
      </c>
      <c r="BD286" s="381"/>
    </row>
    <row r="287" spans="3:56" ht="15" x14ac:dyDescent="0.2">
      <c r="C287" s="362" t="s">
        <v>230</v>
      </c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AL287" s="207">
        <v>26</v>
      </c>
      <c r="AM287" s="378" t="s">
        <v>307</v>
      </c>
      <c r="AN287" s="382"/>
      <c r="AO287" s="106"/>
      <c r="AP287" s="106"/>
      <c r="BB287" s="207">
        <v>33</v>
      </c>
      <c r="BC287" s="378" t="s">
        <v>307</v>
      </c>
      <c r="BD287" s="382"/>
    </row>
    <row r="288" spans="3:56" ht="15" x14ac:dyDescent="0.2">
      <c r="C288" s="238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7"/>
      <c r="AL288" s="206">
        <v>28</v>
      </c>
      <c r="AM288" s="380" t="s">
        <v>312</v>
      </c>
      <c r="AN288" s="381"/>
      <c r="AO288" s="106"/>
      <c r="AP288" s="106"/>
      <c r="BB288" s="206">
        <v>36</v>
      </c>
      <c r="BC288" s="380" t="s">
        <v>312</v>
      </c>
      <c r="BD288" s="381"/>
    </row>
    <row r="289" spans="3:56" ht="15.75" thickBot="1" x14ac:dyDescent="0.25">
      <c r="C289" s="491" t="s">
        <v>275</v>
      </c>
      <c r="D289" s="492"/>
      <c r="E289" s="492"/>
      <c r="F289" s="492"/>
      <c r="G289" s="221"/>
      <c r="H289" s="355" t="s">
        <v>231</v>
      </c>
      <c r="I289" s="355"/>
      <c r="J289" s="221"/>
      <c r="K289" s="355" t="s">
        <v>198</v>
      </c>
      <c r="L289" s="355"/>
      <c r="M289" s="355"/>
      <c r="N289" s="355"/>
      <c r="O289" s="221"/>
      <c r="P289" s="278"/>
      <c r="T289" s="21"/>
      <c r="AL289" s="208">
        <v>32</v>
      </c>
      <c r="AM289" s="378" t="s">
        <v>317</v>
      </c>
      <c r="AN289" s="382"/>
      <c r="AO289" s="106"/>
      <c r="AP289" s="106"/>
      <c r="BB289" s="208">
        <v>39</v>
      </c>
      <c r="BC289" s="378" t="s">
        <v>317</v>
      </c>
      <c r="BD289" s="382"/>
    </row>
    <row r="290" spans="3:56" ht="15.75" thickBot="1" x14ac:dyDescent="0.25">
      <c r="C290" s="240"/>
      <c r="D290" s="414"/>
      <c r="E290" s="415"/>
      <c r="F290" s="221"/>
      <c r="G290" s="221"/>
      <c r="H290" s="444" t="str">
        <f>IF(D290="","-",((D290/1000)*60)/12)</f>
        <v>-</v>
      </c>
      <c r="I290" s="445"/>
      <c r="J290" s="221"/>
      <c r="K290" s="221"/>
      <c r="L290" s="427" t="str">
        <f>IF(D290="","-",('Avaliação Física 3'!D290-504)/45)</f>
        <v>-</v>
      </c>
      <c r="M290" s="428"/>
      <c r="N290" s="429"/>
      <c r="O290" s="221"/>
      <c r="P290" s="278"/>
      <c r="AN290" s="106"/>
      <c r="AO290" s="106"/>
      <c r="AP290" s="106"/>
    </row>
    <row r="291" spans="3:56" ht="15.75" thickBot="1" x14ac:dyDescent="0.25">
      <c r="C291" s="240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78"/>
      <c r="AJ291" s="194"/>
      <c r="AK291" s="195"/>
      <c r="AL291" s="192" t="s">
        <v>356</v>
      </c>
      <c r="AN291" s="187"/>
      <c r="AO291" s="187"/>
      <c r="AP291" s="106"/>
      <c r="BB291" s="192" t="s">
        <v>356</v>
      </c>
    </row>
    <row r="292" spans="3:56" ht="15" x14ac:dyDescent="0.2">
      <c r="C292" s="240"/>
      <c r="D292" s="355" t="s">
        <v>232</v>
      </c>
      <c r="E292" s="355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78"/>
      <c r="AL292" s="205">
        <v>14</v>
      </c>
      <c r="AM292" s="378" t="s">
        <v>141</v>
      </c>
      <c r="AN292" s="379"/>
      <c r="AO292" s="106"/>
      <c r="AP292" s="106"/>
      <c r="BB292" s="205">
        <v>16</v>
      </c>
      <c r="BC292" s="378" t="s">
        <v>141</v>
      </c>
      <c r="BD292" s="379"/>
    </row>
    <row r="293" spans="3:56" ht="15" x14ac:dyDescent="0.2">
      <c r="C293" s="240"/>
      <c r="D293" s="430" t="str">
        <f>IF(D290="","-",DN12)</f>
        <v>-</v>
      </c>
      <c r="E293" s="43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78"/>
      <c r="AL293" s="206">
        <v>19</v>
      </c>
      <c r="AM293" s="380" t="s">
        <v>140</v>
      </c>
      <c r="AN293" s="381"/>
      <c r="AO293" s="106"/>
      <c r="AP293" s="106"/>
      <c r="BB293" s="206">
        <v>22</v>
      </c>
      <c r="BC293" s="380" t="s">
        <v>140</v>
      </c>
      <c r="BD293" s="381"/>
    </row>
    <row r="294" spans="3:56" ht="15" x14ac:dyDescent="0.2">
      <c r="C294" s="241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80"/>
      <c r="AL294" s="207">
        <v>22</v>
      </c>
      <c r="AM294" s="378" t="s">
        <v>298</v>
      </c>
      <c r="AN294" s="382"/>
      <c r="BB294" s="207">
        <v>27</v>
      </c>
      <c r="BC294" s="378" t="s">
        <v>298</v>
      </c>
      <c r="BD294" s="382"/>
    </row>
    <row r="295" spans="3:56" ht="15" x14ac:dyDescent="0.2">
      <c r="AL295" s="206">
        <v>23</v>
      </c>
      <c r="AM295" s="380" t="s">
        <v>303</v>
      </c>
      <c r="AN295" s="381"/>
      <c r="BB295" s="206">
        <v>30</v>
      </c>
      <c r="BC295" s="380" t="s">
        <v>303</v>
      </c>
      <c r="BD295" s="381"/>
    </row>
    <row r="296" spans="3:56" ht="15" x14ac:dyDescent="0.2">
      <c r="C296" s="362" t="s">
        <v>223</v>
      </c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AL296" s="207">
        <v>25</v>
      </c>
      <c r="AM296" s="378" t="s">
        <v>307</v>
      </c>
      <c r="AN296" s="382"/>
      <c r="BB296" s="207">
        <v>32</v>
      </c>
      <c r="BC296" s="378" t="s">
        <v>307</v>
      </c>
      <c r="BD296" s="382"/>
    </row>
    <row r="297" spans="3:56" ht="15" x14ac:dyDescent="0.2">
      <c r="C297" s="447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9"/>
      <c r="Q297" s="93"/>
      <c r="R297" s="94"/>
      <c r="S297" s="94"/>
      <c r="T297" s="95"/>
      <c r="U297" s="95"/>
      <c r="V297" s="95"/>
      <c r="W297" s="95"/>
      <c r="AA297" s="95"/>
      <c r="AL297" s="206">
        <v>27</v>
      </c>
      <c r="AM297" s="380" t="s">
        <v>312</v>
      </c>
      <c r="AN297" s="381"/>
      <c r="BB297" s="206">
        <v>35</v>
      </c>
      <c r="BC297" s="380" t="s">
        <v>312</v>
      </c>
      <c r="BD297" s="381"/>
    </row>
    <row r="298" spans="3:56" ht="15.75" thickBot="1" x14ac:dyDescent="0.25">
      <c r="C298" s="450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2"/>
      <c r="Q298" s="93"/>
      <c r="R298" s="94"/>
      <c r="S298" s="94"/>
      <c r="T298" s="95"/>
      <c r="U298" s="95"/>
      <c r="V298" s="95"/>
      <c r="W298" s="95"/>
      <c r="AA298" s="95"/>
      <c r="AL298" s="208">
        <v>31</v>
      </c>
      <c r="AM298" s="378" t="s">
        <v>317</v>
      </c>
      <c r="AN298" s="382"/>
      <c r="BB298" s="208">
        <v>38</v>
      </c>
      <c r="BC298" s="378" t="s">
        <v>317</v>
      </c>
      <c r="BD298" s="382"/>
    </row>
    <row r="299" spans="3:56" ht="15" x14ac:dyDescent="0.2">
      <c r="C299" s="450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2"/>
      <c r="Q299" s="93"/>
      <c r="R299" s="94"/>
      <c r="S299" s="94"/>
      <c r="T299" s="99"/>
      <c r="U299" s="95"/>
      <c r="V299" s="95"/>
      <c r="W299" s="95"/>
      <c r="AA299" s="95"/>
    </row>
    <row r="300" spans="3:56" ht="15" x14ac:dyDescent="0.2">
      <c r="C300" s="450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2"/>
      <c r="Q300" s="96"/>
      <c r="R300" s="94"/>
      <c r="S300" s="94"/>
      <c r="T300" s="95"/>
      <c r="U300" s="95"/>
      <c r="V300" s="95"/>
      <c r="W300" s="95"/>
      <c r="AA300" s="95"/>
    </row>
    <row r="301" spans="3:56" ht="15" x14ac:dyDescent="0.2">
      <c r="C301" s="450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2"/>
      <c r="Q301" s="93"/>
      <c r="R301" s="94"/>
      <c r="S301" s="94"/>
      <c r="T301" s="95"/>
      <c r="U301" s="95"/>
      <c r="V301" s="95"/>
      <c r="W301" s="95"/>
      <c r="X301" s="95"/>
      <c r="Y301" s="95"/>
      <c r="Z301" s="95"/>
      <c r="AA301" s="95"/>
    </row>
    <row r="302" spans="3:56" ht="15" x14ac:dyDescent="0.2">
      <c r="C302" s="450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2"/>
      <c r="Q302" s="93"/>
      <c r="R302" s="94"/>
      <c r="S302" s="94"/>
      <c r="T302" s="95"/>
      <c r="U302" s="95"/>
      <c r="V302" s="95"/>
      <c r="W302" s="95"/>
      <c r="X302" s="95"/>
      <c r="Y302" s="95"/>
      <c r="Z302" s="95"/>
      <c r="AA302" s="95"/>
    </row>
    <row r="303" spans="3:56" ht="15" x14ac:dyDescent="0.2">
      <c r="C303" s="450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2"/>
      <c r="Q303" s="93"/>
      <c r="R303" s="94"/>
      <c r="S303" s="94"/>
      <c r="T303" s="95"/>
      <c r="U303" s="95"/>
      <c r="V303" s="95"/>
      <c r="W303" s="95"/>
      <c r="X303" s="95"/>
      <c r="Y303" s="95"/>
      <c r="Z303" s="95"/>
      <c r="AA303" s="95"/>
    </row>
    <row r="304" spans="3:56" ht="15" x14ac:dyDescent="0.2">
      <c r="C304" s="450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2"/>
      <c r="Q304" s="93"/>
      <c r="R304" s="94"/>
      <c r="S304" s="94"/>
      <c r="T304" s="95"/>
      <c r="U304" s="95"/>
      <c r="V304" s="95"/>
      <c r="W304" s="95"/>
      <c r="X304" s="408"/>
      <c r="Y304" s="409"/>
      <c r="Z304" s="95"/>
      <c r="AA304" s="95"/>
    </row>
    <row r="305" spans="3:27" ht="15" x14ac:dyDescent="0.2">
      <c r="C305" s="450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2"/>
      <c r="Q305" s="93"/>
      <c r="R305" s="94"/>
      <c r="S305" s="94"/>
      <c r="T305" s="95"/>
      <c r="U305" s="95"/>
      <c r="V305" s="95"/>
      <c r="W305" s="95"/>
      <c r="X305" s="95"/>
      <c r="Y305" s="95"/>
      <c r="Z305" s="95"/>
      <c r="AA305" s="95"/>
    </row>
    <row r="306" spans="3:27" ht="15" x14ac:dyDescent="0.2">
      <c r="C306" s="450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2"/>
      <c r="Q306" s="93"/>
      <c r="R306" s="94"/>
      <c r="S306" s="94"/>
      <c r="T306" s="95"/>
      <c r="U306" s="95"/>
      <c r="V306" s="95"/>
      <c r="W306" s="95"/>
      <c r="X306" s="95"/>
      <c r="Y306" s="95"/>
      <c r="Z306" s="95"/>
      <c r="AA306" s="95"/>
    </row>
    <row r="307" spans="3:27" ht="15" x14ac:dyDescent="0.2">
      <c r="C307" s="450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2"/>
      <c r="Q307" s="93"/>
      <c r="R307" s="94"/>
      <c r="S307" s="94"/>
      <c r="T307" s="95"/>
      <c r="U307" s="95"/>
      <c r="V307" s="95"/>
      <c r="W307" s="95"/>
      <c r="X307" s="95"/>
      <c r="Y307" s="95"/>
      <c r="Z307" s="95"/>
      <c r="AA307" s="95"/>
    </row>
    <row r="308" spans="3:27" ht="15" x14ac:dyDescent="0.2">
      <c r="C308" s="450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2"/>
      <c r="Q308" s="93"/>
      <c r="R308" s="94"/>
      <c r="S308" s="94"/>
      <c r="T308" s="95"/>
      <c r="U308" s="95"/>
      <c r="V308" s="95"/>
      <c r="W308" s="95"/>
      <c r="X308" s="95"/>
      <c r="Y308" s="95"/>
      <c r="Z308" s="95"/>
      <c r="AA308" s="95"/>
    </row>
    <row r="309" spans="3:27" ht="15" x14ac:dyDescent="0.2">
      <c r="C309" s="450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2"/>
      <c r="Q309" s="93"/>
      <c r="R309" s="94"/>
      <c r="S309" s="94"/>
      <c r="T309" s="95"/>
      <c r="U309" s="95"/>
      <c r="V309" s="95"/>
      <c r="W309" s="95"/>
      <c r="X309" s="95"/>
      <c r="Y309" s="95"/>
      <c r="Z309" s="95"/>
      <c r="AA309" s="95"/>
    </row>
    <row r="310" spans="3:27" ht="15" x14ac:dyDescent="0.2">
      <c r="C310" s="450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2"/>
      <c r="Q310" s="93"/>
      <c r="R310" s="94"/>
      <c r="S310" s="94"/>
      <c r="T310" s="95"/>
      <c r="U310" s="95"/>
      <c r="V310" s="95"/>
      <c r="W310" s="95"/>
      <c r="X310" s="95"/>
      <c r="Y310" s="95"/>
      <c r="Z310" s="95"/>
      <c r="AA310" s="95"/>
    </row>
    <row r="311" spans="3:27" ht="15" x14ac:dyDescent="0.2">
      <c r="C311" s="450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2"/>
      <c r="Q311" s="93"/>
      <c r="R311" s="96"/>
      <c r="S311" s="94"/>
      <c r="T311" s="97"/>
      <c r="U311" s="97"/>
      <c r="V311" s="97"/>
      <c r="W311" s="97"/>
      <c r="X311" s="100"/>
      <c r="Y311" s="100"/>
      <c r="Z311" s="95"/>
      <c r="AA311" s="97"/>
    </row>
    <row r="312" spans="3:27" ht="15" x14ac:dyDescent="0.2">
      <c r="C312" s="450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2"/>
      <c r="Q312" s="93"/>
      <c r="R312" s="96"/>
      <c r="S312" s="96"/>
      <c r="T312" s="96"/>
      <c r="U312" s="96"/>
      <c r="V312" s="96"/>
      <c r="W312" s="311"/>
      <c r="X312" s="95"/>
      <c r="Y312" s="95"/>
      <c r="Z312" s="95"/>
      <c r="AA312" s="97"/>
    </row>
    <row r="313" spans="3:27" ht="15" x14ac:dyDescent="0.2">
      <c r="C313" s="450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2"/>
      <c r="Q313" s="93"/>
      <c r="R313" s="94"/>
      <c r="S313" s="94"/>
      <c r="T313" s="97"/>
      <c r="U313" s="97"/>
      <c r="V313" s="97"/>
      <c r="W313" s="97"/>
      <c r="X313" s="95"/>
      <c r="Y313" s="95"/>
      <c r="Z313" s="95"/>
      <c r="AA313" s="97"/>
    </row>
    <row r="314" spans="3:27" ht="15" x14ac:dyDescent="0.2">
      <c r="C314" s="450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2"/>
      <c r="Q314" s="93"/>
      <c r="R314" s="94"/>
      <c r="S314" s="94"/>
      <c r="T314" s="97"/>
      <c r="U314" s="97"/>
      <c r="V314" s="97"/>
      <c r="W314" s="97"/>
      <c r="X314" s="95"/>
      <c r="Y314" s="95"/>
      <c r="Z314" s="95"/>
      <c r="AA314" s="97"/>
    </row>
    <row r="315" spans="3:27" ht="15" x14ac:dyDescent="0.2">
      <c r="C315" s="450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2"/>
      <c r="Q315" s="93"/>
      <c r="R315" s="94"/>
      <c r="S315" s="94"/>
      <c r="T315" s="97"/>
      <c r="U315" s="97"/>
      <c r="V315" s="97"/>
      <c r="W315" s="97"/>
      <c r="X315" s="441"/>
      <c r="Y315" s="441"/>
      <c r="Z315" s="96"/>
      <c r="AA315" s="97"/>
    </row>
    <row r="316" spans="3:27" ht="15" x14ac:dyDescent="0.2">
      <c r="C316" s="453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5"/>
      <c r="Q316" s="93"/>
      <c r="R316" s="94"/>
      <c r="S316" s="94"/>
      <c r="T316" s="97"/>
      <c r="U316" s="97"/>
      <c r="V316" s="97"/>
      <c r="W316" s="97"/>
      <c r="X316" s="97"/>
      <c r="Y316" s="97"/>
      <c r="Z316" s="97"/>
      <c r="AA316" s="97"/>
    </row>
    <row r="317" spans="3:27" ht="15" x14ac:dyDescent="0.2">
      <c r="O317" s="103"/>
      <c r="P317" s="103"/>
      <c r="Q317" s="103"/>
      <c r="R317" s="103"/>
      <c r="S317" s="103"/>
      <c r="T317" s="103"/>
      <c r="U317" s="103"/>
      <c r="V317" s="103"/>
      <c r="W317" s="103"/>
      <c r="X317" s="93"/>
      <c r="Y317" s="97"/>
      <c r="Z317" s="97"/>
      <c r="AA317" s="95"/>
    </row>
    <row r="318" spans="3:27" ht="15" x14ac:dyDescent="0.2">
      <c r="D318" s="442" t="s">
        <v>215</v>
      </c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103"/>
      <c r="P318" s="103"/>
      <c r="Q318" s="103"/>
      <c r="R318" s="103"/>
      <c r="S318" s="103"/>
      <c r="T318" s="103"/>
      <c r="U318" s="103"/>
      <c r="V318" s="103"/>
      <c r="W318" s="103"/>
      <c r="X318" s="93"/>
      <c r="Y318" s="97"/>
      <c r="Z318" s="97"/>
      <c r="AA318" s="95"/>
    </row>
    <row r="319" spans="3:27" ht="15" x14ac:dyDescent="0.2">
      <c r="D319" s="442" t="s">
        <v>216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104"/>
      <c r="P319" s="104"/>
      <c r="Q319" s="104"/>
      <c r="R319" s="104"/>
      <c r="S319" s="104"/>
      <c r="T319" s="104"/>
      <c r="U319" s="104"/>
      <c r="V319" s="104"/>
      <c r="W319" s="104"/>
      <c r="X319" s="93"/>
      <c r="Y319" s="97"/>
      <c r="Z319" s="97"/>
      <c r="AA319" s="101"/>
    </row>
    <row r="320" spans="3:27" ht="15" x14ac:dyDescent="0.2">
      <c r="D320" s="443" t="s">
        <v>217</v>
      </c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101"/>
      <c r="P320" s="101"/>
      <c r="Q320" s="101"/>
      <c r="R320" s="101"/>
      <c r="S320" s="101"/>
      <c r="T320" s="101"/>
      <c r="U320" s="101"/>
      <c r="V320" s="101"/>
      <c r="W320" s="101"/>
      <c r="X320" s="93"/>
      <c r="Y320" s="97"/>
      <c r="Z320" s="97"/>
      <c r="AA320" s="101"/>
    </row>
    <row r="321" spans="4:27" ht="15" x14ac:dyDescent="0.2"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3"/>
      <c r="Y321" s="103"/>
      <c r="Z321" s="103"/>
      <c r="AA321" s="101"/>
    </row>
    <row r="322" spans="4:27" ht="15" x14ac:dyDescent="0.2">
      <c r="D322" s="101"/>
      <c r="E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3"/>
      <c r="Y322" s="103"/>
      <c r="Z322" s="103"/>
      <c r="AA322" s="101"/>
    </row>
    <row r="323" spans="4:27" ht="15" x14ac:dyDescent="0.2">
      <c r="F323" s="404"/>
      <c r="G323" s="404"/>
      <c r="H323" s="404"/>
      <c r="I323" s="404"/>
      <c r="J323" s="404"/>
      <c r="K323" s="404"/>
      <c r="L323" s="404"/>
      <c r="X323" s="104"/>
      <c r="Y323" s="104"/>
      <c r="Z323" s="104"/>
    </row>
    <row r="324" spans="4:27" ht="15" x14ac:dyDescent="0.2">
      <c r="X324" s="101"/>
      <c r="Y324" s="101"/>
      <c r="Z324" s="101"/>
    </row>
    <row r="325" spans="4:27" ht="15" hidden="1" x14ac:dyDescent="0.2">
      <c r="X325" s="101"/>
      <c r="Y325" s="101"/>
      <c r="Z325" s="101"/>
    </row>
    <row r="326" spans="4:27" ht="15" hidden="1" x14ac:dyDescent="0.2">
      <c r="X326" s="101"/>
      <c r="Y326" s="101"/>
      <c r="Z326" s="101"/>
    </row>
    <row r="327" spans="4:27" ht="15" hidden="1" x14ac:dyDescent="0.2"/>
    <row r="328" spans="4:27" ht="15" hidden="1" x14ac:dyDescent="0.2"/>
  </sheetData>
  <sheetProtection algorithmName="SHA-512" hashValue="wPSrK/1DOlYRdRke1yhG6rKgDeVY2l7QsIkT/veLpM84I93np5S43J3wjEWUwa4jGwAzDWtdf8rAf+foSB1tNg==" saltValue="5IQgHqnazm2j3fw6BSFM4g==" spinCount="100000" sheet="1" formatCells="0" selectLockedCells="1"/>
  <mergeCells count="339">
    <mergeCell ref="K6:M6"/>
    <mergeCell ref="C7:P7"/>
    <mergeCell ref="ED8:EE8"/>
    <mergeCell ref="D9:H9"/>
    <mergeCell ref="DT9:DU9"/>
    <mergeCell ref="DX9:DY9"/>
    <mergeCell ref="EL12:EN12"/>
    <mergeCell ref="DT14:DV14"/>
    <mergeCell ref="D15:F15"/>
    <mergeCell ref="H15:J15"/>
    <mergeCell ref="DT15:DU15"/>
    <mergeCell ref="EL15:EN15"/>
    <mergeCell ref="DT10:DV10"/>
    <mergeCell ref="EB10:ED10"/>
    <mergeCell ref="DT11:DU11"/>
    <mergeCell ref="DX11:DY11"/>
    <mergeCell ref="EB11:ED11"/>
    <mergeCell ref="D12:H12"/>
    <mergeCell ref="J12:L12"/>
    <mergeCell ref="DT12:DU12"/>
    <mergeCell ref="DT21:DU21"/>
    <mergeCell ref="C23:P23"/>
    <mergeCell ref="DT23:DU23"/>
    <mergeCell ref="J25:N25"/>
    <mergeCell ref="J26:N26"/>
    <mergeCell ref="DT26:DU26"/>
    <mergeCell ref="DT16:DU16"/>
    <mergeCell ref="DT17:DU17"/>
    <mergeCell ref="C18:P18"/>
    <mergeCell ref="DT18:DU18"/>
    <mergeCell ref="DT19:DU19"/>
    <mergeCell ref="DT20:DU20"/>
    <mergeCell ref="J31:N31"/>
    <mergeCell ref="EI31:EJ31"/>
    <mergeCell ref="J32:N32"/>
    <mergeCell ref="EI32:EJ32"/>
    <mergeCell ref="J33:N33"/>
    <mergeCell ref="J34:N34"/>
    <mergeCell ref="J27:N27"/>
    <mergeCell ref="DT27:DU27"/>
    <mergeCell ref="J28:N28"/>
    <mergeCell ref="DT28:DU28"/>
    <mergeCell ref="J29:N29"/>
    <mergeCell ref="J30:N30"/>
    <mergeCell ref="D42:E42"/>
    <mergeCell ref="F42:N42"/>
    <mergeCell ref="D43:E43"/>
    <mergeCell ref="F43:N43"/>
    <mergeCell ref="EI43:EJ43"/>
    <mergeCell ref="D44:E44"/>
    <mergeCell ref="F44:N44"/>
    <mergeCell ref="EI36:EJ36"/>
    <mergeCell ref="D38:E38"/>
    <mergeCell ref="F38:N38"/>
    <mergeCell ref="D39:E39"/>
    <mergeCell ref="F39:N39"/>
    <mergeCell ref="EI40:EJ40"/>
    <mergeCell ref="D61:J62"/>
    <mergeCell ref="D64:J64"/>
    <mergeCell ref="C67:P67"/>
    <mergeCell ref="J70:K70"/>
    <mergeCell ref="D72:E72"/>
    <mergeCell ref="H72:I72"/>
    <mergeCell ref="K72:M72"/>
    <mergeCell ref="C47:P47"/>
    <mergeCell ref="D49:K50"/>
    <mergeCell ref="D52:J52"/>
    <mergeCell ref="D54:J54"/>
    <mergeCell ref="D56:J56"/>
    <mergeCell ref="D58:J59"/>
    <mergeCell ref="D78:E78"/>
    <mergeCell ref="H78:I78"/>
    <mergeCell ref="L78:M78"/>
    <mergeCell ref="D79:E79"/>
    <mergeCell ref="H79:I79"/>
    <mergeCell ref="L79:M79"/>
    <mergeCell ref="D74:D75"/>
    <mergeCell ref="E75:J75"/>
    <mergeCell ref="D76:N76"/>
    <mergeCell ref="D77:E77"/>
    <mergeCell ref="H77:I77"/>
    <mergeCell ref="L77:M77"/>
    <mergeCell ref="D85:E85"/>
    <mergeCell ref="H85:I85"/>
    <mergeCell ref="D86:E86"/>
    <mergeCell ref="H86:I86"/>
    <mergeCell ref="D87:E87"/>
    <mergeCell ref="H87:I87"/>
    <mergeCell ref="W80:X80"/>
    <mergeCell ref="L81:M81"/>
    <mergeCell ref="W81:X81"/>
    <mergeCell ref="D82:N82"/>
    <mergeCell ref="D84:E84"/>
    <mergeCell ref="H84:I84"/>
    <mergeCell ref="E91:F91"/>
    <mergeCell ref="I91:J91"/>
    <mergeCell ref="Y91:AA91"/>
    <mergeCell ref="Y92:AA92"/>
    <mergeCell ref="D93:L93"/>
    <mergeCell ref="Y93:AA93"/>
    <mergeCell ref="D88:E88"/>
    <mergeCell ref="H88:I88"/>
    <mergeCell ref="Y88:AA88"/>
    <mergeCell ref="Y89:AA89"/>
    <mergeCell ref="H90:I90"/>
    <mergeCell ref="Y90:AA90"/>
    <mergeCell ref="Y96:AA96"/>
    <mergeCell ref="D97:N97"/>
    <mergeCell ref="D98:E98"/>
    <mergeCell ref="H98:I98"/>
    <mergeCell ref="L98:N98"/>
    <mergeCell ref="D99:E99"/>
    <mergeCell ref="H99:I99"/>
    <mergeCell ref="L99:N99"/>
    <mergeCell ref="D94:F94"/>
    <mergeCell ref="G94:H94"/>
    <mergeCell ref="K94:L94"/>
    <mergeCell ref="Y94:AA94"/>
    <mergeCell ref="D95:F95"/>
    <mergeCell ref="G95:H95"/>
    <mergeCell ref="Y95:AA95"/>
    <mergeCell ref="T119:U119"/>
    <mergeCell ref="D120:E120"/>
    <mergeCell ref="G120:H120"/>
    <mergeCell ref="J120:P120"/>
    <mergeCell ref="C100:E100"/>
    <mergeCell ref="D101:E101"/>
    <mergeCell ref="H101:I101"/>
    <mergeCell ref="L101:N101"/>
    <mergeCell ref="C116:P116"/>
    <mergeCell ref="D118:E118"/>
    <mergeCell ref="G118:H118"/>
    <mergeCell ref="J118:O118"/>
    <mergeCell ref="D121:E121"/>
    <mergeCell ref="G121:H121"/>
    <mergeCell ref="L121:O121"/>
    <mergeCell ref="D125:E125"/>
    <mergeCell ref="J125:K125"/>
    <mergeCell ref="M125:N125"/>
    <mergeCell ref="D119:E119"/>
    <mergeCell ref="G119:H119"/>
    <mergeCell ref="L119:O119"/>
    <mergeCell ref="T126:V126"/>
    <mergeCell ref="C148:P148"/>
    <mergeCell ref="J149:P163"/>
    <mergeCell ref="F150:H150"/>
    <mergeCell ref="F151:H151"/>
    <mergeCell ref="F152:H152"/>
    <mergeCell ref="F153:H153"/>
    <mergeCell ref="F154:H154"/>
    <mergeCell ref="F155:H155"/>
    <mergeCell ref="F156:H156"/>
    <mergeCell ref="C168:P168"/>
    <mergeCell ref="D170:O170"/>
    <mergeCell ref="K171:L171"/>
    <mergeCell ref="N171:O171"/>
    <mergeCell ref="D188:H188"/>
    <mergeCell ref="J188:O188"/>
    <mergeCell ref="F157:H157"/>
    <mergeCell ref="F158:H158"/>
    <mergeCell ref="F159:H159"/>
    <mergeCell ref="F160:H160"/>
    <mergeCell ref="F161:H161"/>
    <mergeCell ref="F162:H162"/>
    <mergeCell ref="C220:E222"/>
    <mergeCell ref="M220:M222"/>
    <mergeCell ref="N220:N222"/>
    <mergeCell ref="C223:E225"/>
    <mergeCell ref="M223:M225"/>
    <mergeCell ref="N223:N225"/>
    <mergeCell ref="N189:O189"/>
    <mergeCell ref="C217:P217"/>
    <mergeCell ref="F219:G219"/>
    <mergeCell ref="H219:I219"/>
    <mergeCell ref="J219:K219"/>
    <mergeCell ref="L219:M219"/>
    <mergeCell ref="C229:E231"/>
    <mergeCell ref="M229:M231"/>
    <mergeCell ref="N229:N231"/>
    <mergeCell ref="C232:E234"/>
    <mergeCell ref="M232:M234"/>
    <mergeCell ref="N232:N234"/>
    <mergeCell ref="AJ225:BS225"/>
    <mergeCell ref="C226:E228"/>
    <mergeCell ref="M226:M228"/>
    <mergeCell ref="N226:N228"/>
    <mergeCell ref="AJ226:AO226"/>
    <mergeCell ref="AP226:AT226"/>
    <mergeCell ref="C238:E240"/>
    <mergeCell ref="M238:M240"/>
    <mergeCell ref="N238:N240"/>
    <mergeCell ref="AJ238:AO238"/>
    <mergeCell ref="AJ239:AO239"/>
    <mergeCell ref="AJ240:AO240"/>
    <mergeCell ref="AJ234:BS234"/>
    <mergeCell ref="C235:E237"/>
    <mergeCell ref="M235:M237"/>
    <mergeCell ref="N235:N237"/>
    <mergeCell ref="AJ235:AO235"/>
    <mergeCell ref="AJ236:AO236"/>
    <mergeCell ref="AJ237:AO237"/>
    <mergeCell ref="C241:E243"/>
    <mergeCell ref="M241:M243"/>
    <mergeCell ref="N241:N243"/>
    <mergeCell ref="AJ241:AO241"/>
    <mergeCell ref="AJ242:AO242"/>
    <mergeCell ref="C244:E246"/>
    <mergeCell ref="M244:M246"/>
    <mergeCell ref="N244:N246"/>
    <mergeCell ref="AJ245:AL245"/>
    <mergeCell ref="BB245:BD245"/>
    <mergeCell ref="C247:E249"/>
    <mergeCell ref="M247:M249"/>
    <mergeCell ref="N247:N249"/>
    <mergeCell ref="AM247:AN247"/>
    <mergeCell ref="BC247:BD247"/>
    <mergeCell ref="AM248:AN248"/>
    <mergeCell ref="BC248:BD248"/>
    <mergeCell ref="AM249:AN249"/>
    <mergeCell ref="BC249:BD249"/>
    <mergeCell ref="C250:E252"/>
    <mergeCell ref="M250:M252"/>
    <mergeCell ref="N250:N252"/>
    <mergeCell ref="AM250:AN250"/>
    <mergeCell ref="BC250:BD250"/>
    <mergeCell ref="AM251:AN251"/>
    <mergeCell ref="BC251:BD251"/>
    <mergeCell ref="AM252:AN252"/>
    <mergeCell ref="BC252:BD252"/>
    <mergeCell ref="C253:E255"/>
    <mergeCell ref="M253:M255"/>
    <mergeCell ref="N253:N255"/>
    <mergeCell ref="AM253:AN253"/>
    <mergeCell ref="BC253:BD253"/>
    <mergeCell ref="C256:E258"/>
    <mergeCell ref="M256:M258"/>
    <mergeCell ref="N256:N258"/>
    <mergeCell ref="AM256:AN256"/>
    <mergeCell ref="BC256:BD256"/>
    <mergeCell ref="AM257:AN257"/>
    <mergeCell ref="BC257:BD257"/>
    <mergeCell ref="AM258:AN258"/>
    <mergeCell ref="AU258:AV258"/>
    <mergeCell ref="BC258:BD258"/>
    <mergeCell ref="C259:E261"/>
    <mergeCell ref="M259:M261"/>
    <mergeCell ref="N259:N261"/>
    <mergeCell ref="AM259:AN259"/>
    <mergeCell ref="BC259:BD259"/>
    <mergeCell ref="AM265:AN265"/>
    <mergeCell ref="BC265:BD265"/>
    <mergeCell ref="C266:F266"/>
    <mergeCell ref="G266:H266"/>
    <mergeCell ref="K266:L266"/>
    <mergeCell ref="M266:N266"/>
    <mergeCell ref="AM266:AN266"/>
    <mergeCell ref="BC266:BD266"/>
    <mergeCell ref="AM260:AN260"/>
    <mergeCell ref="BC260:BD260"/>
    <mergeCell ref="AM261:AN261"/>
    <mergeCell ref="BC261:BD261"/>
    <mergeCell ref="C262:E264"/>
    <mergeCell ref="M262:M264"/>
    <mergeCell ref="N262:N264"/>
    <mergeCell ref="AM262:AN262"/>
    <mergeCell ref="BC262:BD262"/>
    <mergeCell ref="H272:K272"/>
    <mergeCell ref="AM274:AN274"/>
    <mergeCell ref="BC274:BD274"/>
    <mergeCell ref="AM267:AN267"/>
    <mergeCell ref="BC267:BD267"/>
    <mergeCell ref="AM268:AN268"/>
    <mergeCell ref="BC268:BD268"/>
    <mergeCell ref="C269:P269"/>
    <mergeCell ref="AM269:AN269"/>
    <mergeCell ref="BC269:BD269"/>
    <mergeCell ref="AM275:AN275"/>
    <mergeCell ref="BC275:BD275"/>
    <mergeCell ref="AM276:AN276"/>
    <mergeCell ref="BC276:BD276"/>
    <mergeCell ref="AM277:AN277"/>
    <mergeCell ref="BC277:BD277"/>
    <mergeCell ref="AM270:AN270"/>
    <mergeCell ref="BC270:BD270"/>
    <mergeCell ref="AM271:AN271"/>
    <mergeCell ref="BC271:BD271"/>
    <mergeCell ref="H281:K281"/>
    <mergeCell ref="AM283:AN283"/>
    <mergeCell ref="BC283:BD283"/>
    <mergeCell ref="AM284:AN284"/>
    <mergeCell ref="BC284:BD284"/>
    <mergeCell ref="AM285:AN285"/>
    <mergeCell ref="BC285:BD285"/>
    <mergeCell ref="C278:P278"/>
    <mergeCell ref="AM278:AN278"/>
    <mergeCell ref="BC278:BD278"/>
    <mergeCell ref="AM279:AN279"/>
    <mergeCell ref="BC279:BD279"/>
    <mergeCell ref="AM280:AN280"/>
    <mergeCell ref="BC280:BD280"/>
    <mergeCell ref="C289:F289"/>
    <mergeCell ref="H289:I289"/>
    <mergeCell ref="K289:N289"/>
    <mergeCell ref="AM289:AN289"/>
    <mergeCell ref="BC289:BD289"/>
    <mergeCell ref="D290:E290"/>
    <mergeCell ref="H290:I290"/>
    <mergeCell ref="L290:N290"/>
    <mergeCell ref="AM286:AN286"/>
    <mergeCell ref="BC286:BD286"/>
    <mergeCell ref="C287:P287"/>
    <mergeCell ref="AM287:AN287"/>
    <mergeCell ref="BC287:BD287"/>
    <mergeCell ref="AM288:AN288"/>
    <mergeCell ref="BC288:BD288"/>
    <mergeCell ref="AM294:AN294"/>
    <mergeCell ref="BC294:BD294"/>
    <mergeCell ref="AM295:AN295"/>
    <mergeCell ref="BC295:BD295"/>
    <mergeCell ref="C296:P296"/>
    <mergeCell ref="AM296:AN296"/>
    <mergeCell ref="BC296:BD296"/>
    <mergeCell ref="D292:E292"/>
    <mergeCell ref="AM292:AN292"/>
    <mergeCell ref="BC292:BD292"/>
    <mergeCell ref="D293:E293"/>
    <mergeCell ref="AM293:AN293"/>
    <mergeCell ref="BC293:BD293"/>
    <mergeCell ref="D318:N318"/>
    <mergeCell ref="D319:N319"/>
    <mergeCell ref="D320:N320"/>
    <mergeCell ref="F323:L323"/>
    <mergeCell ref="C297:P316"/>
    <mergeCell ref="AM297:AN297"/>
    <mergeCell ref="BC297:BD297"/>
    <mergeCell ref="AM298:AN298"/>
    <mergeCell ref="BC298:BD298"/>
    <mergeCell ref="X304:Y304"/>
    <mergeCell ref="X315:Y315"/>
  </mergeCells>
  <conditionalFormatting sqref="L101:N101">
    <cfRule type="cellIs" dxfId="115" priority="13" operator="equal">
      <formula>"obesidade muito alta"</formula>
    </cfRule>
    <cfRule type="cellIs" dxfId="114" priority="14" operator="equal">
      <formula>"obesidade alta"</formula>
    </cfRule>
    <cfRule type="cellIs" dxfId="113" priority="15" operator="equal">
      <formula>"obesidade moderada"</formula>
    </cfRule>
    <cfRule type="cellIs" dxfId="112" priority="16" operator="equal">
      <formula>"pré-obesidade"</formula>
    </cfRule>
    <cfRule type="cellIs" dxfId="111" priority="17" operator="equal">
      <formula>"peso normal"</formula>
    </cfRule>
    <cfRule type="cellIs" dxfId="110" priority="18" operator="equal">
      <formula>"baixo peso leve"</formula>
    </cfRule>
    <cfRule type="cellIs" dxfId="109" priority="19" operator="equal">
      <formula>"baixo peso moderado"</formula>
    </cfRule>
    <cfRule type="cellIs" dxfId="108" priority="20" operator="equal">
      <formula>"baixo peso severo"</formula>
    </cfRule>
  </conditionalFormatting>
  <conditionalFormatting sqref="BH95">
    <cfRule type="cellIs" dxfId="107" priority="9" operator="equal">
      <formula>"Endomorfo"</formula>
    </cfRule>
  </conditionalFormatting>
  <conditionalFormatting sqref="BC62:BE62">
    <cfRule type="expression" dxfId="106" priority="12">
      <formula>$Z$47&gt;$Z$48=$Z$49</formula>
    </cfRule>
  </conditionalFormatting>
  <conditionalFormatting sqref="BC104:BE104">
    <cfRule type="expression" dxfId="105" priority="11" stopIfTrue="1">
      <formula>$AA$86=$AB$86=$AC$86</formula>
    </cfRule>
  </conditionalFormatting>
  <conditionalFormatting sqref="BI98">
    <cfRule type="expression" priority="10" stopIfTrue="1">
      <formula>"$AA$82&gt;$AB$82=$AC$82;""ENDOMORFO"""</formula>
    </cfRule>
  </conditionalFormatting>
  <conditionalFormatting sqref="EB11:ED11">
    <cfRule type="cellIs" dxfId="104" priority="1" operator="equal">
      <formula>"obesidade muito alta"</formula>
    </cfRule>
    <cfRule type="cellIs" dxfId="103" priority="2" operator="equal">
      <formula>"obesidade alta"</formula>
    </cfRule>
    <cfRule type="cellIs" dxfId="102" priority="3" operator="equal">
      <formula>"obesidade moderada"</formula>
    </cfRule>
    <cfRule type="cellIs" dxfId="101" priority="4" operator="equal">
      <formula>"pré-obesidade"</formula>
    </cfRule>
    <cfRule type="cellIs" dxfId="100" priority="5" operator="equal">
      <formula>"peso normal"</formula>
    </cfRule>
    <cfRule type="cellIs" dxfId="99" priority="6" operator="equal">
      <formula>"baixo peso leve"</formula>
    </cfRule>
    <cfRule type="cellIs" dxfId="98" priority="7" operator="equal">
      <formula>"baixo peso moderado"</formula>
    </cfRule>
    <cfRule type="cellIs" dxfId="97" priority="8" operator="equal">
      <formula>"baixo peso severo"</formula>
    </cfRule>
  </conditionalFormatting>
  <dataValidations count="2">
    <dataValidation type="list" allowBlank="1" showInputMessage="1" showErrorMessage="1" sqref="L9" xr:uid="{5F14BEBA-0533-4472-A648-36956A09FA3D}">
      <formula1>"Feminino, Masculino"</formula1>
    </dataValidation>
    <dataValidation type="list" allowBlank="1" showInputMessage="1" showErrorMessage="1" sqref="E75:J75" xr:uid="{450E7151-6092-4A21-B952-FE9E2E0B040B}">
      <formula1>$S$67:$S$75</formula1>
    </dataValidation>
  </dataValidations>
  <printOptions horizontalCentered="1"/>
  <pageMargins left="0.31496062992125984" right="0.11811023622047245" top="0.31496062992125984" bottom="0.31496062992125984" header="0.31496062992125984" footer="0.31496062992125984"/>
  <pageSetup paperSize="9" scale="90" fitToHeight="0" orientation="portrait" r:id="rId1"/>
  <headerFooter differentFirst="1"/>
  <rowBreaks count="4" manualBreakCount="4">
    <brk id="65" min="1" max="16" man="1"/>
    <brk id="121" min="1" max="16" man="1"/>
    <brk id="213" min="1" max="16" man="1"/>
    <brk id="26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Caixa de seleção 2">
              <controlPr defaultSize="0" autoFill="0" autoLine="0" autoPict="0">
                <anchor moveWithCells="1">
                  <from>
                    <xdr:col>3</xdr:col>
                    <xdr:colOff>83820</xdr:colOff>
                    <xdr:row>18</xdr:row>
                    <xdr:rowOff>91440</xdr:rowOff>
                  </from>
                  <to>
                    <xdr:col>3</xdr:col>
                    <xdr:colOff>975360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Caixa de seleção 3">
              <controlPr defaultSize="0" autoFill="0" autoLine="0" autoPict="0">
                <anchor moveWithCells="1">
                  <from>
                    <xdr:col>4</xdr:col>
                    <xdr:colOff>7620</xdr:colOff>
                    <xdr:row>18</xdr:row>
                    <xdr:rowOff>91440</xdr:rowOff>
                  </from>
                  <to>
                    <xdr:col>5</xdr:col>
                    <xdr:colOff>731520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9" r:id="rId6" name="Caixa de seleção 4">
              <controlPr defaultSize="0" autoFill="0" autoLine="0" autoPict="0">
                <anchor moveWithCells="1">
                  <from>
                    <xdr:col>8</xdr:col>
                    <xdr:colOff>175260</xdr:colOff>
                    <xdr:row>18</xdr:row>
                    <xdr:rowOff>91440</xdr:rowOff>
                  </from>
                  <to>
                    <xdr:col>9</xdr:col>
                    <xdr:colOff>1089660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0" r:id="rId7" name="Caixa de seleção 5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91440</xdr:rowOff>
                  </from>
                  <to>
                    <xdr:col>7</xdr:col>
                    <xdr:colOff>990600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1" r:id="rId8" name="Caixa de seleção 6">
              <controlPr defaultSize="0" autoFill="0" autoLine="0" autoPict="0">
                <anchor moveWithCells="1">
                  <from>
                    <xdr:col>11</xdr:col>
                    <xdr:colOff>76200</xdr:colOff>
                    <xdr:row>18</xdr:row>
                    <xdr:rowOff>91440</xdr:rowOff>
                  </from>
                  <to>
                    <xdr:col>12</xdr:col>
                    <xdr:colOff>60960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9" name="Caixa de seleção 6">
              <controlPr defaultSize="0" autoFill="0" autoLine="0" autoPict="0">
                <anchor moveWithCells="1">
                  <from>
                    <xdr:col>13</xdr:col>
                    <xdr:colOff>137160</xdr:colOff>
                    <xdr:row>18</xdr:row>
                    <xdr:rowOff>83820</xdr:rowOff>
                  </from>
                  <to>
                    <xdr:col>14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10" name="Caixa de seleção 42">
              <controlPr defaultSize="0" autoFill="0" autoLine="0" autoPict="0">
                <anchor moveWithCells="1">
                  <from>
                    <xdr:col>4</xdr:col>
                    <xdr:colOff>30480</xdr:colOff>
                    <xdr:row>169</xdr:row>
                    <xdr:rowOff>175260</xdr:rowOff>
                  </from>
                  <to>
                    <xdr:col>5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4" r:id="rId11" name="Caixa de seleção 44">
              <controlPr defaultSize="0" autoFill="0" autoLine="0" autoPict="0">
                <anchor moveWithCells="1">
                  <from>
                    <xdr:col>6</xdr:col>
                    <xdr:colOff>22860</xdr:colOff>
                    <xdr:row>169</xdr:row>
                    <xdr:rowOff>175260</xdr:rowOff>
                  </from>
                  <to>
                    <xdr:col>7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5" r:id="rId12" name="Caixa de seleção 45">
              <controlPr defaultSize="0" autoFill="0" autoLine="0" autoPict="0">
                <anchor moveWithCells="1">
                  <from>
                    <xdr:col>8</xdr:col>
                    <xdr:colOff>30480</xdr:colOff>
                    <xdr:row>169</xdr:row>
                    <xdr:rowOff>175260</xdr:rowOff>
                  </from>
                  <to>
                    <xdr:col>9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6" r:id="rId13" name="Caixa de seleção 47">
              <controlPr defaultSize="0" autoFill="0" autoLine="0" autoPict="0">
                <anchor moveWithCells="1">
                  <from>
                    <xdr:col>4</xdr:col>
                    <xdr:colOff>38100</xdr:colOff>
                    <xdr:row>171</xdr:row>
                    <xdr:rowOff>68580</xdr:rowOff>
                  </from>
                  <to>
                    <xdr:col>5</xdr:col>
                    <xdr:colOff>609600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7" r:id="rId14" name="Caixa de seleção 48">
              <controlPr defaultSize="0" autoFill="0" autoLine="0" autoPict="0">
                <anchor moveWithCells="1">
                  <from>
                    <xdr:col>6</xdr:col>
                    <xdr:colOff>22860</xdr:colOff>
                    <xdr:row>171</xdr:row>
                    <xdr:rowOff>68580</xdr:rowOff>
                  </from>
                  <to>
                    <xdr:col>7</xdr:col>
                    <xdr:colOff>563880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8" r:id="rId15" name="Caixa de seleção 49">
              <controlPr defaultSize="0" autoFill="0" autoLine="0" autoPict="0">
                <anchor moveWithCells="1">
                  <from>
                    <xdr:col>8</xdr:col>
                    <xdr:colOff>22860</xdr:colOff>
                    <xdr:row>171</xdr:row>
                    <xdr:rowOff>68580</xdr:rowOff>
                  </from>
                  <to>
                    <xdr:col>9</xdr:col>
                    <xdr:colOff>899160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9" r:id="rId16" name="Caixa de seleção 50">
              <controlPr defaultSize="0" autoFill="0" autoLine="0" autoPict="0">
                <anchor moveWithCells="1">
                  <from>
                    <xdr:col>4</xdr:col>
                    <xdr:colOff>30480</xdr:colOff>
                    <xdr:row>175</xdr:row>
                    <xdr:rowOff>76200</xdr:rowOff>
                  </from>
                  <to>
                    <xdr:col>5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0" r:id="rId17" name="Caixa de seleção 51">
              <controlPr defaultSize="0" autoFill="0" autoLine="0" autoPict="0">
                <anchor moveWithCells="1">
                  <from>
                    <xdr:col>6</xdr:col>
                    <xdr:colOff>22860</xdr:colOff>
                    <xdr:row>175</xdr:row>
                    <xdr:rowOff>76200</xdr:rowOff>
                  </from>
                  <to>
                    <xdr:col>7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1" r:id="rId18" name="Caixa de seleção 52">
              <controlPr defaultSize="0" autoFill="0" autoLine="0" autoPict="0">
                <anchor moveWithCells="1">
                  <from>
                    <xdr:col>8</xdr:col>
                    <xdr:colOff>30480</xdr:colOff>
                    <xdr:row>175</xdr:row>
                    <xdr:rowOff>76200</xdr:rowOff>
                  </from>
                  <to>
                    <xdr:col>9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2" r:id="rId19" name="Caixa de seleção 53">
              <controlPr defaultSize="0" autoFill="0" autoLine="0" autoPict="0">
                <anchor moveWithCells="1">
                  <from>
                    <xdr:col>4</xdr:col>
                    <xdr:colOff>30480</xdr:colOff>
                    <xdr:row>177</xdr:row>
                    <xdr:rowOff>76200</xdr:rowOff>
                  </from>
                  <to>
                    <xdr:col>5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3" r:id="rId20" name="Caixa de seleção 54">
              <controlPr defaultSize="0" autoFill="0" autoLine="0" autoPict="0">
                <anchor moveWithCells="1">
                  <from>
                    <xdr:col>6</xdr:col>
                    <xdr:colOff>22860</xdr:colOff>
                    <xdr:row>177</xdr:row>
                    <xdr:rowOff>76200</xdr:rowOff>
                  </from>
                  <to>
                    <xdr:col>7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4" r:id="rId21" name="Caixa de seleção 55">
              <controlPr defaultSize="0" autoFill="0" autoLine="0" autoPict="0">
                <anchor moveWithCells="1">
                  <from>
                    <xdr:col>8</xdr:col>
                    <xdr:colOff>30480</xdr:colOff>
                    <xdr:row>177</xdr:row>
                    <xdr:rowOff>76200</xdr:rowOff>
                  </from>
                  <to>
                    <xdr:col>9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5" r:id="rId22" name="Caixa de seleção 59">
              <controlPr defaultSize="0" autoFill="0" autoLine="0" autoPict="0">
                <anchor moveWithCells="1">
                  <from>
                    <xdr:col>4</xdr:col>
                    <xdr:colOff>30480</xdr:colOff>
                    <xdr:row>179</xdr:row>
                    <xdr:rowOff>76200</xdr:rowOff>
                  </from>
                  <to>
                    <xdr:col>5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6" r:id="rId23" name="Caixa de seleção 60">
              <controlPr defaultSize="0" autoFill="0" autoLine="0" autoPict="0">
                <anchor moveWithCells="1">
                  <from>
                    <xdr:col>6</xdr:col>
                    <xdr:colOff>22860</xdr:colOff>
                    <xdr:row>179</xdr:row>
                    <xdr:rowOff>76200</xdr:rowOff>
                  </from>
                  <to>
                    <xdr:col>7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7" r:id="rId24" name="Caixa de seleção 61">
              <controlPr defaultSize="0" autoFill="0" autoLine="0" autoPict="0">
                <anchor moveWithCells="1">
                  <from>
                    <xdr:col>8</xdr:col>
                    <xdr:colOff>30480</xdr:colOff>
                    <xdr:row>179</xdr:row>
                    <xdr:rowOff>76200</xdr:rowOff>
                  </from>
                  <to>
                    <xdr:col>9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8" r:id="rId25" name="Caixa de seleção 62">
              <controlPr defaultSize="0" autoFill="0" autoLine="0" autoPict="0">
                <anchor moveWithCells="1">
                  <from>
                    <xdr:col>4</xdr:col>
                    <xdr:colOff>30480</xdr:colOff>
                    <xdr:row>181</xdr:row>
                    <xdr:rowOff>76200</xdr:rowOff>
                  </from>
                  <to>
                    <xdr:col>5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9" r:id="rId26" name="Caixa de seleção 63">
              <controlPr defaultSize="0" autoFill="0" autoLine="0" autoPict="0">
                <anchor moveWithCells="1">
                  <from>
                    <xdr:col>6</xdr:col>
                    <xdr:colOff>22860</xdr:colOff>
                    <xdr:row>181</xdr:row>
                    <xdr:rowOff>76200</xdr:rowOff>
                  </from>
                  <to>
                    <xdr:col>7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0" r:id="rId27" name="Caixa de seleção 64">
              <controlPr defaultSize="0" autoFill="0" autoLine="0" autoPict="0">
                <anchor moveWithCells="1">
                  <from>
                    <xdr:col>8</xdr:col>
                    <xdr:colOff>30480</xdr:colOff>
                    <xdr:row>181</xdr:row>
                    <xdr:rowOff>76200</xdr:rowOff>
                  </from>
                  <to>
                    <xdr:col>9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1" r:id="rId28" name="Caixa de seleção 107">
              <controlPr defaultSize="0" autoFill="0" autoLine="0" autoPict="0">
                <anchor moveWithCells="1">
                  <from>
                    <xdr:col>4</xdr:col>
                    <xdr:colOff>30480</xdr:colOff>
                    <xdr:row>173</xdr:row>
                    <xdr:rowOff>68580</xdr:rowOff>
                  </from>
                  <to>
                    <xdr:col>5</xdr:col>
                    <xdr:colOff>579120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2" r:id="rId29" name="Caixa de seleção 108">
              <controlPr defaultSize="0" autoFill="0" autoLine="0" autoPict="0">
                <anchor moveWithCells="1">
                  <from>
                    <xdr:col>6</xdr:col>
                    <xdr:colOff>22860</xdr:colOff>
                    <xdr:row>173</xdr:row>
                    <xdr:rowOff>68580</xdr:rowOff>
                  </from>
                  <to>
                    <xdr:col>7</xdr:col>
                    <xdr:colOff>563880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3" r:id="rId30" name="Caixa de seleção 109">
              <controlPr defaultSize="0" autoFill="0" autoLine="0" autoPict="0">
                <anchor moveWithCells="1">
                  <from>
                    <xdr:col>6</xdr:col>
                    <xdr:colOff>22860</xdr:colOff>
                    <xdr:row>183</xdr:row>
                    <xdr:rowOff>76200</xdr:rowOff>
                  </from>
                  <to>
                    <xdr:col>7</xdr:col>
                    <xdr:colOff>594360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4" r:id="rId31" name="Caixa de seleção 110">
              <controlPr defaultSize="0" autoFill="0" autoLine="0" autoPict="0">
                <anchor moveWithCells="1">
                  <from>
                    <xdr:col>4</xdr:col>
                    <xdr:colOff>22860</xdr:colOff>
                    <xdr:row>183</xdr:row>
                    <xdr:rowOff>76200</xdr:rowOff>
                  </from>
                  <to>
                    <xdr:col>5</xdr:col>
                    <xdr:colOff>579120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5" r:id="rId32" name="Caixa de seleção 111">
              <controlPr defaultSize="0" autoFill="0" autoLine="0" autoPict="0">
                <anchor moveWithCells="1">
                  <from>
                    <xdr:col>8</xdr:col>
                    <xdr:colOff>30480</xdr:colOff>
                    <xdr:row>183</xdr:row>
                    <xdr:rowOff>76200</xdr:rowOff>
                  </from>
                  <to>
                    <xdr:col>9</xdr:col>
                    <xdr:colOff>579120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6" r:id="rId33" name="Caixa de seleção 112">
              <controlPr defaultSize="0" autoFill="0" autoLine="0" autoPict="0">
                <anchor moveWithCells="1">
                  <from>
                    <xdr:col>4</xdr:col>
                    <xdr:colOff>22860</xdr:colOff>
                    <xdr:row>184</xdr:row>
                    <xdr:rowOff>182880</xdr:rowOff>
                  </from>
                  <to>
                    <xdr:col>5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7" r:id="rId34" name="Caixa de seleção 46">
              <controlPr defaultSize="0" autoFill="0" autoLine="0" autoPict="0">
                <anchor moveWithCells="1">
                  <from>
                    <xdr:col>2</xdr:col>
                    <xdr:colOff>53340</xdr:colOff>
                    <xdr:row>199</xdr:row>
                    <xdr:rowOff>7620</xdr:rowOff>
                  </from>
                  <to>
                    <xdr:col>3</xdr:col>
                    <xdr:colOff>723900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8" r:id="rId35" name="Caixa de seleção 65">
              <controlPr defaultSize="0" autoFill="0" autoLine="0" autoPict="0">
                <anchor moveWithCells="1">
                  <from>
                    <xdr:col>2</xdr:col>
                    <xdr:colOff>53340</xdr:colOff>
                    <xdr:row>190</xdr:row>
                    <xdr:rowOff>7620</xdr:rowOff>
                  </from>
                  <to>
                    <xdr:col>3</xdr:col>
                    <xdr:colOff>708660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9" r:id="rId36" name="Caixa de seleção 66">
              <controlPr defaultSize="0" autoFill="0" autoLine="0" autoPict="0">
                <anchor moveWithCells="1">
                  <from>
                    <xdr:col>2</xdr:col>
                    <xdr:colOff>53340</xdr:colOff>
                    <xdr:row>189</xdr:row>
                    <xdr:rowOff>7620</xdr:rowOff>
                  </from>
                  <to>
                    <xdr:col>5</xdr:col>
                    <xdr:colOff>99060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0" r:id="rId37" name="Caixa de seleção 67">
              <controlPr defaultSize="0" autoFill="0" autoLine="0" autoPict="0">
                <anchor moveWithCells="1">
                  <from>
                    <xdr:col>4</xdr:col>
                    <xdr:colOff>137160</xdr:colOff>
                    <xdr:row>189</xdr:row>
                    <xdr:rowOff>7620</xdr:rowOff>
                  </from>
                  <to>
                    <xdr:col>7</xdr:col>
                    <xdr:colOff>259080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1" r:id="rId38" name="Caixa de seleção 69">
              <controlPr defaultSize="0" autoFill="0" autoLine="0" autoPict="0">
                <anchor moveWithCells="1">
                  <from>
                    <xdr:col>2</xdr:col>
                    <xdr:colOff>53340</xdr:colOff>
                    <xdr:row>198</xdr:row>
                    <xdr:rowOff>7620</xdr:rowOff>
                  </from>
                  <to>
                    <xdr:col>5</xdr:col>
                    <xdr:colOff>22860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2" r:id="rId39" name="Caixa de seleção 70">
              <controlPr defaultSize="0" autoFill="0" autoLine="0" autoPict="0">
                <anchor moveWithCells="1">
                  <from>
                    <xdr:col>4</xdr:col>
                    <xdr:colOff>137160</xdr:colOff>
                    <xdr:row>198</xdr:row>
                    <xdr:rowOff>7620</xdr:rowOff>
                  </from>
                  <to>
                    <xdr:col>7</xdr:col>
                    <xdr:colOff>83820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3" r:id="rId40" name="Caixa de seleção 71">
              <controlPr defaultSize="0" autoFill="0" autoLine="0" autoPict="0">
                <anchor moveWithCells="1">
                  <from>
                    <xdr:col>2</xdr:col>
                    <xdr:colOff>53340</xdr:colOff>
                    <xdr:row>195</xdr:row>
                    <xdr:rowOff>7620</xdr:rowOff>
                  </from>
                  <to>
                    <xdr:col>3</xdr:col>
                    <xdr:colOff>708660</xdr:colOff>
                    <xdr:row>196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4" r:id="rId41" name="Caixa de seleção 72">
              <controlPr defaultSize="0" autoFill="0" autoLine="0" autoPict="0">
                <anchor moveWithCells="1">
                  <from>
                    <xdr:col>2</xdr:col>
                    <xdr:colOff>53340</xdr:colOff>
                    <xdr:row>193</xdr:row>
                    <xdr:rowOff>7620</xdr:rowOff>
                  </from>
                  <to>
                    <xdr:col>4</xdr:col>
                    <xdr:colOff>137160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5" r:id="rId42" name="Caixa de seleção 73">
              <controlPr defaultSize="0" autoFill="0" autoLine="0" autoPict="0">
                <anchor moveWithCells="1">
                  <from>
                    <xdr:col>4</xdr:col>
                    <xdr:colOff>137160</xdr:colOff>
                    <xdr:row>193</xdr:row>
                    <xdr:rowOff>7620</xdr:rowOff>
                  </from>
                  <to>
                    <xdr:col>5</xdr:col>
                    <xdr:colOff>708660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6" r:id="rId43" name="Caixa de seleção 77">
              <controlPr defaultSize="0" autoFill="0" autoLine="0" autoPict="0">
                <anchor moveWithCells="1">
                  <from>
                    <xdr:col>2</xdr:col>
                    <xdr:colOff>53340</xdr:colOff>
                    <xdr:row>194</xdr:row>
                    <xdr:rowOff>7620</xdr:rowOff>
                  </from>
                  <to>
                    <xdr:col>3</xdr:col>
                    <xdr:colOff>975360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7" r:id="rId44" name="Caixa de seleção 78">
              <controlPr defaultSize="0" autoFill="0" autoLine="0" autoPict="0">
                <anchor moveWithCells="1">
                  <from>
                    <xdr:col>4</xdr:col>
                    <xdr:colOff>137160</xdr:colOff>
                    <xdr:row>194</xdr:row>
                    <xdr:rowOff>7620</xdr:rowOff>
                  </from>
                  <to>
                    <xdr:col>6</xdr:col>
                    <xdr:colOff>99060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8" r:id="rId45" name="Caixa de seleção 80">
              <controlPr defaultSize="0" autoFill="0" autoLine="0" autoPict="0">
                <anchor moveWithCells="1">
                  <from>
                    <xdr:col>2</xdr:col>
                    <xdr:colOff>53340</xdr:colOff>
                    <xdr:row>211</xdr:row>
                    <xdr:rowOff>0</xdr:rowOff>
                  </from>
                  <to>
                    <xdr:col>3</xdr:col>
                    <xdr:colOff>708660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9" r:id="rId46" name="Caixa de seleção 81">
              <controlPr defaultSize="0" autoFill="0" autoLine="0" autoPict="0">
                <anchor moveWithCells="1">
                  <from>
                    <xdr:col>4</xdr:col>
                    <xdr:colOff>144780</xdr:colOff>
                    <xdr:row>211</xdr:row>
                    <xdr:rowOff>0</xdr:rowOff>
                  </from>
                  <to>
                    <xdr:col>5</xdr:col>
                    <xdr:colOff>685800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0" r:id="rId47" name="Caixa de seleção 83">
              <controlPr defaultSize="0" autoFill="0" autoLine="0" autoPict="0">
                <anchor moveWithCells="1">
                  <from>
                    <xdr:col>2</xdr:col>
                    <xdr:colOff>53340</xdr:colOff>
                    <xdr:row>208</xdr:row>
                    <xdr:rowOff>7620</xdr:rowOff>
                  </from>
                  <to>
                    <xdr:col>3</xdr:col>
                    <xdr:colOff>708660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1" r:id="rId48" name="Caixa de seleção 84">
              <controlPr defaultSize="0" autoFill="0" autoLine="0" autoPict="0">
                <anchor moveWithCells="1">
                  <from>
                    <xdr:col>4</xdr:col>
                    <xdr:colOff>144780</xdr:colOff>
                    <xdr:row>208</xdr:row>
                    <xdr:rowOff>7620</xdr:rowOff>
                  </from>
                  <to>
                    <xdr:col>5</xdr:col>
                    <xdr:colOff>685800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2" r:id="rId49" name="Caixa de seleção 85">
              <controlPr defaultSize="0" autoFill="0" autoLine="0" autoPict="0">
                <anchor moveWithCells="1">
                  <from>
                    <xdr:col>5</xdr:col>
                    <xdr:colOff>838200</xdr:colOff>
                    <xdr:row>208</xdr:row>
                    <xdr:rowOff>15240</xdr:rowOff>
                  </from>
                  <to>
                    <xdr:col>7</xdr:col>
                    <xdr:colOff>403860</xdr:colOff>
                    <xdr:row>209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3" r:id="rId50" name="Caixa de seleção 86">
              <controlPr defaultSize="0" autoFill="0" autoLine="0" autoPict="0">
                <anchor moveWithCells="1">
                  <from>
                    <xdr:col>8</xdr:col>
                    <xdr:colOff>137160</xdr:colOff>
                    <xdr:row>189</xdr:row>
                    <xdr:rowOff>7620</xdr:rowOff>
                  </from>
                  <to>
                    <xdr:col>9</xdr:col>
                    <xdr:colOff>708660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4" r:id="rId51" name="Caixa de seleção 87">
              <controlPr defaultSize="0" autoFill="0" autoLine="0" autoPict="0">
                <anchor moveWithCells="1">
                  <from>
                    <xdr:col>10</xdr:col>
                    <xdr:colOff>137160</xdr:colOff>
                    <xdr:row>189</xdr:row>
                    <xdr:rowOff>7620</xdr:rowOff>
                  </from>
                  <to>
                    <xdr:col>11</xdr:col>
                    <xdr:colOff>670560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5" r:id="rId52" name="Caixa de seleção 92">
              <controlPr defaultSize="0" autoFill="0" autoLine="0" autoPict="0">
                <anchor moveWithCells="1">
                  <from>
                    <xdr:col>8</xdr:col>
                    <xdr:colOff>137160</xdr:colOff>
                    <xdr:row>198</xdr:row>
                    <xdr:rowOff>167640</xdr:rowOff>
                  </from>
                  <to>
                    <xdr:col>9</xdr:col>
                    <xdr:colOff>693420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6" r:id="rId53" name="Caixa de seleção 93">
              <controlPr defaultSize="0" autoFill="0" autoLine="0" autoPict="0">
                <anchor moveWithCells="1">
                  <from>
                    <xdr:col>8</xdr:col>
                    <xdr:colOff>137160</xdr:colOff>
                    <xdr:row>197</xdr:row>
                    <xdr:rowOff>175260</xdr:rowOff>
                  </from>
                  <to>
                    <xdr:col>9</xdr:col>
                    <xdr:colOff>708660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7" r:id="rId54" name="Caixa de seleção 94">
              <controlPr defaultSize="0" autoFill="0" autoLine="0" autoPict="0">
                <anchor moveWithCells="1">
                  <from>
                    <xdr:col>10</xdr:col>
                    <xdr:colOff>137160</xdr:colOff>
                    <xdr:row>197</xdr:row>
                    <xdr:rowOff>175260</xdr:rowOff>
                  </from>
                  <to>
                    <xdr:col>11</xdr:col>
                    <xdr:colOff>693420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8" r:id="rId55" name="Caixa de seleção 95">
              <controlPr defaultSize="0" autoFill="0" autoLine="0" autoPict="0">
                <anchor moveWithCells="1">
                  <from>
                    <xdr:col>8</xdr:col>
                    <xdr:colOff>137160</xdr:colOff>
                    <xdr:row>204</xdr:row>
                    <xdr:rowOff>175260</xdr:rowOff>
                  </from>
                  <to>
                    <xdr:col>9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9" r:id="rId56" name="Caixa de seleção 96">
              <controlPr defaultSize="0" autoFill="0" autoLine="0" autoPict="0">
                <anchor moveWithCells="1">
                  <from>
                    <xdr:col>8</xdr:col>
                    <xdr:colOff>137160</xdr:colOff>
                    <xdr:row>203</xdr:row>
                    <xdr:rowOff>175260</xdr:rowOff>
                  </from>
                  <to>
                    <xdr:col>9</xdr:col>
                    <xdr:colOff>708660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0" r:id="rId57" name="Caixa de seleção 97">
              <controlPr defaultSize="0" autoFill="0" autoLine="0" autoPict="0">
                <anchor moveWithCells="1">
                  <from>
                    <xdr:col>10</xdr:col>
                    <xdr:colOff>137160</xdr:colOff>
                    <xdr:row>203</xdr:row>
                    <xdr:rowOff>175260</xdr:rowOff>
                  </from>
                  <to>
                    <xdr:col>11</xdr:col>
                    <xdr:colOff>693420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1" r:id="rId58" name="Caixa de seleção 98">
              <controlPr defaultSize="0" autoFill="0" autoLine="0" autoPict="0">
                <anchor moveWithCells="1">
                  <from>
                    <xdr:col>8</xdr:col>
                    <xdr:colOff>137160</xdr:colOff>
                    <xdr:row>193</xdr:row>
                    <xdr:rowOff>175260</xdr:rowOff>
                  </from>
                  <to>
                    <xdr:col>9</xdr:col>
                    <xdr:colOff>693420</xdr:colOff>
                    <xdr:row>195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2" r:id="rId59" name="Caixa de seleção 104">
              <controlPr defaultSize="0" autoFill="0" autoLine="0" autoPict="0">
                <anchor moveWithCells="1">
                  <from>
                    <xdr:col>2</xdr:col>
                    <xdr:colOff>53340</xdr:colOff>
                    <xdr:row>204</xdr:row>
                    <xdr:rowOff>175260</xdr:rowOff>
                  </from>
                  <to>
                    <xdr:col>3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3" r:id="rId60" name="Caixa de seleção 105">
              <controlPr defaultSize="0" autoFill="0" autoLine="0" autoPict="0">
                <anchor moveWithCells="1">
                  <from>
                    <xdr:col>4</xdr:col>
                    <xdr:colOff>129540</xdr:colOff>
                    <xdr:row>203</xdr:row>
                    <xdr:rowOff>175260</xdr:rowOff>
                  </from>
                  <to>
                    <xdr:col>7</xdr:col>
                    <xdr:colOff>7620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4" r:id="rId61" name="Caixa de seleção 106">
              <controlPr defaultSize="0" autoFill="0" autoLine="0" autoPict="0">
                <anchor moveWithCells="1">
                  <from>
                    <xdr:col>2</xdr:col>
                    <xdr:colOff>53340</xdr:colOff>
                    <xdr:row>203</xdr:row>
                    <xdr:rowOff>175260</xdr:rowOff>
                  </from>
                  <to>
                    <xdr:col>4</xdr:col>
                    <xdr:colOff>144780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5" r:id="rId62" name="Check Box 59">
              <controlPr defaultSize="0" autoFill="0" autoLine="0" autoPict="0">
                <anchor moveWithCells="1">
                  <from>
                    <xdr:col>12</xdr:col>
                    <xdr:colOff>0</xdr:colOff>
                    <xdr:row>47</xdr:row>
                    <xdr:rowOff>175260</xdr:rowOff>
                  </from>
                  <to>
                    <xdr:col>13</xdr:col>
                    <xdr:colOff>495300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6" r:id="rId63" name="Check Box 60">
              <controlPr defaultSize="0" autoFill="0" autoLine="0" autoPict="0">
                <anchor moveWithCells="1">
                  <from>
                    <xdr:col>13</xdr:col>
                    <xdr:colOff>327660</xdr:colOff>
                    <xdr:row>47</xdr:row>
                    <xdr:rowOff>175260</xdr:rowOff>
                  </from>
                  <to>
                    <xdr:col>14</xdr:col>
                    <xdr:colOff>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7" r:id="rId64" name="Check Box 61">
              <controlPr defaultSize="0" autoFill="0" autoLine="0" autoPict="0">
                <anchor moveWithCells="1">
                  <from>
                    <xdr:col>12</xdr:col>
                    <xdr:colOff>0</xdr:colOff>
                    <xdr:row>50</xdr:row>
                    <xdr:rowOff>53340</xdr:rowOff>
                  </from>
                  <to>
                    <xdr:col>13</xdr:col>
                    <xdr:colOff>495300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8" r:id="rId65" name="Check Box 62">
              <controlPr defaultSize="0" autoFill="0" autoLine="0" autoPict="0">
                <anchor moveWithCells="1">
                  <from>
                    <xdr:col>13</xdr:col>
                    <xdr:colOff>327660</xdr:colOff>
                    <xdr:row>50</xdr:row>
                    <xdr:rowOff>53340</xdr:rowOff>
                  </from>
                  <to>
                    <xdr:col>14</xdr:col>
                    <xdr:colOff>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9" r:id="rId66" name="Check Box 63">
              <controlPr defaultSize="0" autoFill="0" autoLine="0" autoPict="0">
                <anchor moveWithCells="1">
                  <from>
                    <xdr:col>12</xdr:col>
                    <xdr:colOff>0</xdr:colOff>
                    <xdr:row>52</xdr:row>
                    <xdr:rowOff>45720</xdr:rowOff>
                  </from>
                  <to>
                    <xdr:col>13</xdr:col>
                    <xdr:colOff>495300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0" r:id="rId67" name="Check Box 64">
              <controlPr defaultSize="0" autoFill="0" autoLine="0" autoPict="0">
                <anchor moveWithCells="1">
                  <from>
                    <xdr:col>13</xdr:col>
                    <xdr:colOff>327660</xdr:colOff>
                    <xdr:row>52</xdr:row>
                    <xdr:rowOff>45720</xdr:rowOff>
                  </from>
                  <to>
                    <xdr:col>14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1" r:id="rId68" name="Check Box 65">
              <controlPr defaultSize="0" autoFill="0" autoLine="0" autoPict="0">
                <anchor moveWithCells="1">
                  <from>
                    <xdr:col>12</xdr:col>
                    <xdr:colOff>0</xdr:colOff>
                    <xdr:row>54</xdr:row>
                    <xdr:rowOff>53340</xdr:rowOff>
                  </from>
                  <to>
                    <xdr:col>13</xdr:col>
                    <xdr:colOff>495300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2" r:id="rId69" name="Check Box 66">
              <controlPr defaultSize="0" autoFill="0" autoLine="0" autoPict="0">
                <anchor moveWithCells="1">
                  <from>
                    <xdr:col>13</xdr:col>
                    <xdr:colOff>327660</xdr:colOff>
                    <xdr:row>54</xdr:row>
                    <xdr:rowOff>53340</xdr:rowOff>
                  </from>
                  <to>
                    <xdr:col>14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3" r:id="rId70" name="Check Box 67">
              <controlPr defaultSize="0" autoFill="0" autoLine="0" autoPict="0">
                <anchor moveWithCells="1">
                  <from>
                    <xdr:col>12</xdr:col>
                    <xdr:colOff>0</xdr:colOff>
                    <xdr:row>56</xdr:row>
                    <xdr:rowOff>53340</xdr:rowOff>
                  </from>
                  <to>
                    <xdr:col>13</xdr:col>
                    <xdr:colOff>495300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4" r:id="rId71" name="Check Box 68">
              <controlPr defaultSize="0" autoFill="0" autoLine="0" autoPict="0">
                <anchor moveWithCells="1">
                  <from>
                    <xdr:col>13</xdr:col>
                    <xdr:colOff>327660</xdr:colOff>
                    <xdr:row>56</xdr:row>
                    <xdr:rowOff>53340</xdr:rowOff>
                  </from>
                  <to>
                    <xdr:col>14</xdr:col>
                    <xdr:colOff>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5" r:id="rId72" name="Check Box 69">
              <controlPr defaultSize="0" autoFill="0" autoLine="0" autoPict="0">
                <anchor moveWithCells="1">
                  <from>
                    <xdr:col>12</xdr:col>
                    <xdr:colOff>0</xdr:colOff>
                    <xdr:row>59</xdr:row>
                    <xdr:rowOff>53340</xdr:rowOff>
                  </from>
                  <to>
                    <xdr:col>13</xdr:col>
                    <xdr:colOff>495300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6" r:id="rId73" name="Check Box 70">
              <controlPr defaultSize="0" autoFill="0" autoLine="0" autoPict="0">
                <anchor moveWithCells="1">
                  <from>
                    <xdr:col>13</xdr:col>
                    <xdr:colOff>327660</xdr:colOff>
                    <xdr:row>59</xdr:row>
                    <xdr:rowOff>53340</xdr:rowOff>
                  </from>
                  <to>
                    <xdr:col>14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7" r:id="rId74" name="Check Box 71">
              <controlPr defaultSize="0" autoFill="0" autoLine="0" autoPict="0">
                <anchor moveWithCells="1">
                  <from>
                    <xdr:col>12</xdr:col>
                    <xdr:colOff>0</xdr:colOff>
                    <xdr:row>62</xdr:row>
                    <xdr:rowOff>53340</xdr:rowOff>
                  </from>
                  <to>
                    <xdr:col>13</xdr:col>
                    <xdr:colOff>495300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8" r:id="rId75" name="Check Box 72">
              <controlPr defaultSize="0" autoFill="0" autoLine="0" autoPict="0">
                <anchor moveWithCells="1">
                  <from>
                    <xdr:col>13</xdr:col>
                    <xdr:colOff>327660</xdr:colOff>
                    <xdr:row>62</xdr:row>
                    <xdr:rowOff>53340</xdr:rowOff>
                  </from>
                  <to>
                    <xdr:col>14</xdr:col>
                    <xdr:colOff>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9" r:id="rId76" name="Caixa de seleção 112">
              <controlPr defaultSize="0" autoFill="0" autoLine="0" autoPict="0">
                <anchor moveWithCells="1">
                  <from>
                    <xdr:col>6</xdr:col>
                    <xdr:colOff>22860</xdr:colOff>
                    <xdr:row>184</xdr:row>
                    <xdr:rowOff>182880</xdr:rowOff>
                  </from>
                  <to>
                    <xdr:col>7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0" r:id="rId77" name="Caixa de seleção 112">
              <controlPr defaultSize="0" autoFill="0" autoLine="0" autoPict="0">
                <anchor moveWithCells="1">
                  <from>
                    <xdr:col>8</xdr:col>
                    <xdr:colOff>137160</xdr:colOff>
                    <xdr:row>190</xdr:row>
                    <xdr:rowOff>0</xdr:rowOff>
                  </from>
                  <to>
                    <xdr:col>9</xdr:col>
                    <xdr:colOff>685800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1" r:id="rId78" name="Caixa de seleção 68">
              <controlPr defaultSize="0" autoFill="0" autoLine="0" autoPict="0">
                <anchor moveWithCells="1">
                  <from>
                    <xdr:col>4</xdr:col>
                    <xdr:colOff>137160</xdr:colOff>
                    <xdr:row>199</xdr:row>
                    <xdr:rowOff>7620</xdr:rowOff>
                  </from>
                  <to>
                    <xdr:col>5</xdr:col>
                    <xdr:colOff>708660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2" r:id="rId79" name="Caixa de seleção 82">
              <controlPr defaultSize="0" autoFill="0" autoLine="0" autoPict="0">
                <anchor moveWithCells="1">
                  <from>
                    <xdr:col>5</xdr:col>
                    <xdr:colOff>845820</xdr:colOff>
                    <xdr:row>211</xdr:row>
                    <xdr:rowOff>0</xdr:rowOff>
                  </from>
                  <to>
                    <xdr:col>7</xdr:col>
                    <xdr:colOff>403860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3" r:id="rId80" name="Caixa de seleção 99">
              <controlPr defaultSize="0" autoFill="0" autoLine="0" autoPict="0">
                <anchor moveWithCells="1">
                  <from>
                    <xdr:col>8</xdr:col>
                    <xdr:colOff>137160</xdr:colOff>
                    <xdr:row>192</xdr:row>
                    <xdr:rowOff>175260</xdr:rowOff>
                  </from>
                  <to>
                    <xdr:col>10</xdr:col>
                    <xdr:colOff>38100</xdr:colOff>
                    <xdr:row>194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4" r:id="rId81" name="Caixa de seleção 100">
              <controlPr defaultSize="0" autoFill="0" autoLine="0" autoPict="0">
                <anchor moveWithCells="1">
                  <from>
                    <xdr:col>10</xdr:col>
                    <xdr:colOff>137160</xdr:colOff>
                    <xdr:row>192</xdr:row>
                    <xdr:rowOff>175260</xdr:rowOff>
                  </from>
                  <to>
                    <xdr:col>12</xdr:col>
                    <xdr:colOff>144780</xdr:colOff>
                    <xdr:row>194</xdr:row>
                    <xdr:rowOff>68580</xdr:rowOff>
                  </to>
                </anchor>
              </controlPr>
            </control>
          </mc:Choice>
        </mc:AlternateContent>
      </controls>
    </mc:Choice>
  </mc:AlternateContent>
  <tableParts count="3">
    <tablePart r:id="rId82"/>
    <tablePart r:id="rId83"/>
    <tablePart r:id="rId8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BB03C-28A8-45B7-9907-869214BA5F6F}">
  <sheetPr>
    <pageSetUpPr fitToPage="1"/>
  </sheetPr>
  <dimension ref="A1:EW328"/>
  <sheetViews>
    <sheetView showGridLines="0" showRowColHeaders="0" zoomScale="80" zoomScaleNormal="80" zoomScaleSheetLayoutView="73" workbookViewId="0">
      <selection activeCell="D9" sqref="D9:H9"/>
    </sheetView>
  </sheetViews>
  <sheetFormatPr defaultColWidth="0" defaultRowHeight="14.45" customHeight="1" zeroHeight="1" x14ac:dyDescent="0.2"/>
  <cols>
    <col min="1" max="1" width="5.24609375" customWidth="1"/>
    <col min="2" max="2" width="1.61328125" customWidth="1"/>
    <col min="3" max="3" width="1.4765625" customWidth="1"/>
    <col min="4" max="4" width="14.66015625" customWidth="1"/>
    <col min="5" max="5" width="2.6875" customWidth="1"/>
    <col min="6" max="6" width="14.66015625" customWidth="1"/>
    <col min="7" max="7" width="2.6875" customWidth="1"/>
    <col min="8" max="8" width="16.0078125" bestFit="1" customWidth="1"/>
    <col min="9" max="9" width="2.6875" customWidth="1"/>
    <col min="10" max="10" width="16.94921875" customWidth="1"/>
    <col min="11" max="11" width="2.6875" customWidth="1"/>
    <col min="12" max="12" width="14.66015625" customWidth="1"/>
    <col min="13" max="13" width="2.6875" customWidth="1"/>
    <col min="14" max="14" width="14.66015625" customWidth="1"/>
    <col min="15" max="15" width="2.6875" customWidth="1"/>
    <col min="16" max="16" width="1.34375" customWidth="1"/>
    <col min="17" max="17" width="1.61328125" customWidth="1"/>
    <col min="18" max="18" width="9.14453125" hidden="1" customWidth="1"/>
    <col min="19" max="19" width="18.16015625" hidden="1" customWidth="1"/>
    <col min="20" max="20" width="12.375" hidden="1" customWidth="1"/>
    <col min="21" max="21" width="9.14453125" hidden="1" customWidth="1"/>
    <col min="22" max="22" width="20.984375" hidden="1" customWidth="1"/>
    <col min="23" max="25" width="9.14453125" hidden="1" customWidth="1"/>
    <col min="26" max="26" width="10.4921875" hidden="1" customWidth="1"/>
    <col min="27" max="30" width="9.14453125" hidden="1" customWidth="1"/>
    <col min="31" max="31" width="9.14453125" style="79" hidden="1" customWidth="1"/>
    <col min="32" max="74" width="9.14453125" hidden="1" customWidth="1"/>
    <col min="75" max="75" width="9.14453125" style="79" hidden="1" customWidth="1"/>
    <col min="76" max="79" width="9.14453125" hidden="1" customWidth="1"/>
    <col min="80" max="80" width="16.8125" hidden="1" customWidth="1"/>
    <col min="81" max="83" width="9.14453125" hidden="1" customWidth="1"/>
    <col min="84" max="84" width="19.37109375" hidden="1" customWidth="1"/>
    <col min="85" max="90" width="9.14453125" hidden="1" customWidth="1"/>
    <col min="91" max="91" width="10.4921875" hidden="1" customWidth="1"/>
    <col min="92" max="92" width="9.14453125" hidden="1" customWidth="1"/>
    <col min="93" max="93" width="10.625" hidden="1" customWidth="1"/>
    <col min="94" max="120" width="9.14453125" hidden="1" customWidth="1"/>
    <col min="121" max="121" width="9.14453125" style="79" hidden="1" customWidth="1"/>
    <col min="122" max="152" width="9.14453125" hidden="1" customWidth="1"/>
    <col min="153" max="153" width="9.14453125" style="79" hidden="1" customWidth="1"/>
    <col min="154" max="16384" width="9.14453125" hidden="1"/>
  </cols>
  <sheetData>
    <row r="1" spans="2:146" ht="15" customHeight="1" x14ac:dyDescent="0.2"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L1" t="s">
        <v>96</v>
      </c>
    </row>
    <row r="2" spans="2:146" ht="15" customHeight="1" x14ac:dyDescent="0.2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AF2" s="10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L2" t="s">
        <v>97</v>
      </c>
    </row>
    <row r="3" spans="2:146" ht="15" customHeight="1" x14ac:dyDescent="0.2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DS3" s="162"/>
      <c r="DT3" s="162"/>
      <c r="DU3" s="162"/>
      <c r="DV3" s="162"/>
      <c r="DW3" s="162"/>
      <c r="DY3" s="162"/>
      <c r="DZ3" s="162"/>
      <c r="EA3" s="162"/>
      <c r="EB3" s="162"/>
      <c r="EC3" s="162"/>
      <c r="ED3" s="162"/>
      <c r="EE3" s="162"/>
      <c r="EJ3" t="s">
        <v>95</v>
      </c>
    </row>
    <row r="4" spans="2:146" ht="15" customHeight="1" x14ac:dyDescent="0.2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7"/>
      <c r="Q4" s="22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J4" s="4">
        <f>IF(DZ9="feminino",0,1)</f>
        <v>1</v>
      </c>
    </row>
    <row r="5" spans="2:146" ht="15" customHeight="1" x14ac:dyDescent="0.2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7"/>
      <c r="Q5" s="22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J5" s="4"/>
    </row>
    <row r="6" spans="2:146" ht="15" customHeight="1" thickBot="1" x14ac:dyDescent="0.25">
      <c r="B6" s="227"/>
      <c r="C6" s="228"/>
      <c r="D6" s="228"/>
      <c r="E6" s="228"/>
      <c r="F6" s="228"/>
      <c r="G6" s="228"/>
      <c r="H6" s="228"/>
      <c r="I6" s="228"/>
      <c r="J6" s="228"/>
      <c r="K6" s="456"/>
      <c r="L6" s="456"/>
      <c r="M6" s="456"/>
      <c r="N6" s="229"/>
      <c r="O6" s="228"/>
      <c r="P6" s="227"/>
      <c r="Q6" s="227"/>
      <c r="AG6" s="46"/>
      <c r="AH6" s="46"/>
      <c r="AI6" s="46"/>
      <c r="AJ6" s="46"/>
      <c r="AK6" s="46"/>
      <c r="AL6" s="129"/>
      <c r="AM6" s="129"/>
      <c r="AN6" s="129"/>
      <c r="AO6" s="46"/>
      <c r="AP6" s="46"/>
      <c r="AQ6" s="46"/>
      <c r="AR6" s="46"/>
      <c r="AS6" s="46"/>
      <c r="BC6" s="314" t="s">
        <v>133</v>
      </c>
      <c r="BD6" s="314" t="s">
        <v>132</v>
      </c>
      <c r="BE6" s="314" t="s">
        <v>134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M6" s="314"/>
      <c r="CN6" s="314"/>
      <c r="CO6" s="314"/>
      <c r="DO6" s="42" t="s">
        <v>138</v>
      </c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G6" t="e">
        <f>DV11*DV26</f>
        <v>#VALUE!</v>
      </c>
    </row>
    <row r="7" spans="2:146" ht="15" customHeight="1" x14ac:dyDescent="0.2">
      <c r="B7" s="227"/>
      <c r="C7" s="374" t="s">
        <v>201</v>
      </c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227"/>
      <c r="BC7" s="314" t="str">
        <f>AX14</f>
        <v>-</v>
      </c>
      <c r="BD7" s="314">
        <f>AV15</f>
        <v>1</v>
      </c>
      <c r="BE7" s="32" t="str">
        <f>AZ13</f>
        <v>-</v>
      </c>
      <c r="CM7" s="314"/>
      <c r="CN7" s="314"/>
      <c r="CO7" s="32"/>
      <c r="DM7" s="42" t="s">
        <v>133</v>
      </c>
      <c r="DO7" s="42">
        <f>CB31</f>
        <v>-11.2</v>
      </c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I7" s="17" t="s">
        <v>46</v>
      </c>
    </row>
    <row r="8" spans="2:146" ht="15" x14ac:dyDescent="0.2">
      <c r="B8" s="227"/>
      <c r="C8" s="238"/>
      <c r="D8" s="276" t="s">
        <v>0</v>
      </c>
      <c r="E8" s="276"/>
      <c r="F8" s="276"/>
      <c r="G8" s="276"/>
      <c r="H8" s="276"/>
      <c r="I8" s="276"/>
      <c r="J8" s="276" t="s">
        <v>1</v>
      </c>
      <c r="K8" s="276"/>
      <c r="L8" s="276" t="s">
        <v>3</v>
      </c>
      <c r="M8" s="276"/>
      <c r="N8" s="276" t="s">
        <v>2</v>
      </c>
      <c r="O8" s="276"/>
      <c r="P8" s="277"/>
      <c r="Q8" s="227"/>
      <c r="BC8" s="314" t="str">
        <f t="shared" ref="BC8:BE10" si="0">BC7</f>
        <v>-</v>
      </c>
      <c r="BD8" s="314">
        <f t="shared" si="0"/>
        <v>1</v>
      </c>
      <c r="BE8" s="32" t="str">
        <f t="shared" si="0"/>
        <v>-</v>
      </c>
      <c r="CM8" s="32" t="e">
        <f>CF31</f>
        <v>#VALUE!</v>
      </c>
      <c r="CN8" s="314"/>
      <c r="CO8" s="32" t="e">
        <f>CF31</f>
        <v>#VALUE!</v>
      </c>
      <c r="DK8" s="42" t="s">
        <v>132</v>
      </c>
      <c r="DM8" s="42" t="str">
        <f>DB14</f>
        <v>-</v>
      </c>
      <c r="ED8" s="498">
        <f ca="1">TODAY()</f>
        <v>44149</v>
      </c>
      <c r="EE8" s="498"/>
      <c r="EI8" s="27" t="s">
        <v>38</v>
      </c>
    </row>
    <row r="9" spans="2:146" ht="15" x14ac:dyDescent="0.2">
      <c r="B9" s="227"/>
      <c r="C9" s="240"/>
      <c r="D9" s="494"/>
      <c r="E9" s="495"/>
      <c r="F9" s="495"/>
      <c r="G9" s="495"/>
      <c r="H9" s="496"/>
      <c r="I9" s="221"/>
      <c r="J9" s="222"/>
      <c r="K9" s="221"/>
      <c r="L9" s="223"/>
      <c r="M9" s="221"/>
      <c r="N9" s="230" t="str">
        <f>'Avaliação Física 4'!DV9</f>
        <v>-</v>
      </c>
      <c r="O9" s="221"/>
      <c r="P9" s="278"/>
      <c r="Q9" s="227"/>
      <c r="S9" s="106"/>
      <c r="T9" s="106"/>
      <c r="U9" s="106"/>
      <c r="V9" s="106"/>
      <c r="AH9" s="126" t="s">
        <v>49</v>
      </c>
      <c r="AI9" s="126"/>
      <c r="AJ9" s="31">
        <f>'Avaliação Física 4'!F85</f>
        <v>0</v>
      </c>
      <c r="AN9" s="126" t="s">
        <v>119</v>
      </c>
      <c r="AO9" s="126"/>
      <c r="AP9" s="10">
        <f>'Avaliação Física 4'!DV11</f>
        <v>0</v>
      </c>
      <c r="BC9" s="314" t="str">
        <f t="shared" si="0"/>
        <v>-</v>
      </c>
      <c r="BD9" s="314">
        <f t="shared" si="0"/>
        <v>1</v>
      </c>
      <c r="BE9" s="32" t="str">
        <f t="shared" si="0"/>
        <v>-</v>
      </c>
      <c r="BZ9" s="126" t="s">
        <v>41</v>
      </c>
      <c r="CA9" s="126"/>
      <c r="CB9" s="144">
        <f>'Avaliação Física 4'!L9</f>
        <v>0</v>
      </c>
      <c r="CC9" s="145"/>
      <c r="CD9" s="126" t="s">
        <v>148</v>
      </c>
      <c r="CE9" s="126"/>
      <c r="CF9" s="144" t="str">
        <f>'Avaliação Física 4'!DV9</f>
        <v>-</v>
      </c>
      <c r="CG9" s="145"/>
      <c r="CM9" s="314"/>
      <c r="CN9" s="314"/>
      <c r="CO9" s="32"/>
      <c r="DK9" s="42">
        <f>CZ15</f>
        <v>1</v>
      </c>
      <c r="DT9" s="426" t="s">
        <v>2</v>
      </c>
      <c r="DU9" s="426"/>
      <c r="DV9" s="8" t="str">
        <f>IF(J9="","-",INT((ED8-'Avaliação Física 4'!J9)/365.25))</f>
        <v>-</v>
      </c>
      <c r="DX9" s="426" t="s">
        <v>41</v>
      </c>
      <c r="DY9" s="426"/>
      <c r="DZ9" s="10">
        <f>'Avaliação Física 4'!L9</f>
        <v>0</v>
      </c>
      <c r="EI9" s="14" t="e">
        <f>1.112-(0.00043499*(DV23))+(0.00000055*(DV23*DV23))-(0.00028826*(DV9))</f>
        <v>#VALUE!</v>
      </c>
      <c r="EP9" t="s">
        <v>48</v>
      </c>
    </row>
    <row r="10" spans="2:146" ht="15" x14ac:dyDescent="0.2">
      <c r="B10" s="227"/>
      <c r="C10" s="240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301"/>
      <c r="O10" s="221"/>
      <c r="P10" s="278"/>
      <c r="Q10" s="227"/>
      <c r="S10" s="106"/>
      <c r="T10" s="106"/>
      <c r="U10" s="106"/>
      <c r="V10" s="106"/>
      <c r="AH10" s="126" t="s">
        <v>50</v>
      </c>
      <c r="AI10" s="126"/>
      <c r="AJ10" s="31">
        <f>'Avaliação Física 4'!F84</f>
        <v>0</v>
      </c>
      <c r="AN10" s="126" t="s">
        <v>61</v>
      </c>
      <c r="AO10" s="126"/>
      <c r="AP10" s="72">
        <f>'Avaliação Física 4'!DV12</f>
        <v>0</v>
      </c>
      <c r="BC10" s="314" t="str">
        <f t="shared" si="0"/>
        <v>-</v>
      </c>
      <c r="BD10" s="314">
        <f t="shared" si="0"/>
        <v>1</v>
      </c>
      <c r="BE10" s="32" t="str">
        <f t="shared" si="0"/>
        <v>-</v>
      </c>
      <c r="CF10" s="126"/>
      <c r="CG10" s="126"/>
      <c r="CM10" s="314"/>
      <c r="CN10" s="314"/>
      <c r="CO10" s="32"/>
      <c r="DT10" s="490" t="s">
        <v>15</v>
      </c>
      <c r="DU10" s="490"/>
      <c r="DV10" s="490"/>
      <c r="EB10" s="477" t="s">
        <v>36</v>
      </c>
      <c r="EC10" s="477"/>
      <c r="ED10" s="477"/>
      <c r="EI10" s="14"/>
    </row>
    <row r="11" spans="2:146" ht="15.75" thickBot="1" x14ac:dyDescent="0.25">
      <c r="B11" s="227"/>
      <c r="C11" s="240"/>
      <c r="D11" s="221" t="s">
        <v>4</v>
      </c>
      <c r="E11" s="221"/>
      <c r="F11" s="221"/>
      <c r="G11" s="221"/>
      <c r="H11" s="221"/>
      <c r="I11" s="221"/>
      <c r="J11" s="221" t="s">
        <v>5</v>
      </c>
      <c r="K11" s="221"/>
      <c r="L11" s="221"/>
      <c r="M11" s="221"/>
      <c r="N11" s="221" t="s">
        <v>6</v>
      </c>
      <c r="O11" s="221"/>
      <c r="P11" s="278"/>
      <c r="Q11" s="227"/>
      <c r="S11" s="107"/>
      <c r="T11" s="107" t="b">
        <v>0</v>
      </c>
      <c r="U11" s="107"/>
      <c r="V11" s="106"/>
      <c r="AH11" s="126" t="s">
        <v>59</v>
      </c>
      <c r="AI11" s="138"/>
      <c r="AJ11" s="31">
        <f>'Avaliação Física 4'!F86</f>
        <v>0</v>
      </c>
      <c r="BC11" s="47"/>
      <c r="BD11" s="48"/>
      <c r="BE11" s="48"/>
      <c r="BF11" s="48"/>
      <c r="BG11" s="48"/>
      <c r="BH11" s="48"/>
      <c r="BI11" s="48"/>
      <c r="BJ11" s="48"/>
      <c r="BK11" s="49"/>
      <c r="BN11" s="47"/>
      <c r="BO11" s="48"/>
      <c r="BP11" s="48"/>
      <c r="BQ11" s="48"/>
      <c r="BR11" s="48"/>
      <c r="BS11" s="48"/>
      <c r="BT11" s="48"/>
      <c r="BU11" s="49"/>
      <c r="BZ11" s="126"/>
      <c r="CA11" s="126"/>
      <c r="CM11" s="47"/>
      <c r="CN11" s="48"/>
      <c r="CO11" s="48"/>
      <c r="CP11" s="48"/>
      <c r="CQ11" s="48"/>
      <c r="CR11" s="48"/>
      <c r="CS11" s="48"/>
      <c r="CT11" s="49"/>
      <c r="CU11" s="49"/>
      <c r="CX11" s="47"/>
      <c r="CY11" s="48"/>
      <c r="CZ11" s="48"/>
      <c r="DA11" s="48"/>
      <c r="DB11" s="48"/>
      <c r="DC11" s="48"/>
      <c r="DD11" s="48"/>
      <c r="DE11" s="49"/>
      <c r="DH11" s="314"/>
      <c r="DJ11" s="314"/>
      <c r="DK11" s="314"/>
      <c r="DL11" s="314"/>
      <c r="DN11" s="121" t="s">
        <v>27</v>
      </c>
      <c r="DO11" s="121"/>
      <c r="DT11" s="426" t="s">
        <v>118</v>
      </c>
      <c r="DU11" s="426"/>
      <c r="DV11" s="31">
        <f>'Avaliação Física 4'!F72</f>
        <v>0</v>
      </c>
      <c r="DX11" s="426" t="s">
        <v>26</v>
      </c>
      <c r="DY11" s="426"/>
      <c r="DZ11" s="9" t="e">
        <f>IF(DV11="","-",SUM(DV11/(DV12*DV12)))</f>
        <v>#DIV/0!</v>
      </c>
      <c r="EB11" s="478" t="str">
        <f>IF(DV12&gt;0,VLOOKUP(DZ11,AUX_IMC_Classificação5811[],2,TRUE),"(informe peso e altura)")</f>
        <v>(informe peso e altura)</v>
      </c>
      <c r="EC11" s="479"/>
      <c r="ED11" s="480"/>
      <c r="EI11" s="27" t="s">
        <v>39</v>
      </c>
    </row>
    <row r="12" spans="2:146" ht="15.75" thickBot="1" x14ac:dyDescent="0.25">
      <c r="B12" s="227"/>
      <c r="C12" s="240"/>
      <c r="D12" s="432"/>
      <c r="E12" s="433"/>
      <c r="F12" s="433"/>
      <c r="G12" s="433"/>
      <c r="H12" s="434"/>
      <c r="I12" s="221"/>
      <c r="J12" s="432"/>
      <c r="K12" s="433"/>
      <c r="L12" s="434"/>
      <c r="M12" s="221"/>
      <c r="N12" s="224"/>
      <c r="O12" s="221"/>
      <c r="P12" s="278"/>
      <c r="Q12" s="227"/>
      <c r="S12" s="107"/>
      <c r="T12" s="107" t="b">
        <v>0</v>
      </c>
      <c r="U12" s="107"/>
      <c r="V12" s="106"/>
      <c r="AH12" s="126" t="s">
        <v>51</v>
      </c>
      <c r="AI12" s="126"/>
      <c r="AJ12" s="31">
        <f>'Avaliação Física 4'!F87</f>
        <v>0</v>
      </c>
      <c r="AN12" s="126" t="s">
        <v>62</v>
      </c>
      <c r="AO12" s="126"/>
      <c r="AP12" s="44" t="str">
        <f>'Avaliação Física 4'!E91</f>
        <v>-</v>
      </c>
      <c r="AZ12" s="42" t="s">
        <v>62</v>
      </c>
      <c r="BC12" s="50"/>
      <c r="BJ12" s="51" t="s">
        <v>138</v>
      </c>
      <c r="BK12" s="52"/>
      <c r="BN12" s="50"/>
      <c r="BT12" s="42" t="s">
        <v>138</v>
      </c>
      <c r="BU12" s="52"/>
      <c r="BZ12" s="126" t="s">
        <v>149</v>
      </c>
      <c r="CA12" s="126"/>
      <c r="CB12" s="126"/>
      <c r="CC12" s="126"/>
      <c r="CD12" s="113">
        <f>'Avaliação Física 4'!L281</f>
        <v>0</v>
      </c>
      <c r="CF12" s="126" t="s">
        <v>150</v>
      </c>
      <c r="CG12" s="126"/>
      <c r="CH12" s="44" t="str">
        <f>IF(CD12="","-",DC18)</f>
        <v>-</v>
      </c>
      <c r="CI12" s="21"/>
      <c r="CM12" s="50"/>
      <c r="CS12" s="42" t="s">
        <v>138</v>
      </c>
      <c r="CT12" s="52"/>
      <c r="CU12" s="52"/>
      <c r="CX12" s="50"/>
      <c r="DD12" s="42" t="s">
        <v>138</v>
      </c>
      <c r="DE12" s="52"/>
      <c r="DH12" s="314"/>
      <c r="DJ12" s="314"/>
      <c r="DK12" s="314"/>
      <c r="DL12" s="314"/>
      <c r="DN12" s="121" t="str">
        <f>IF(AND(DK9=0,DM8&lt;=29),VLOOKUP(DO7,DH19:DI23,2,TRUE),IF(AND(DK9=0,DM8&lt;=39),VLOOKUP(DO7,DH26:DI30,2,TRUE),IF(AND(DK9=0,DM8&lt;=49),VLOOKUP(DO7,DH32:DI36,2,TRUE),IF(AND(DK9=0,DM8&lt;=59),VLOOKUP(DO7,DH38:DI42,2,TRUE),IF(AND(DK9=0,DM8&lt;=69),VLOOKUP(DO7,DH44:DI48,2,TRUE),IF(AND(DK9=1,DM8&lt;=29),VLOOKUP(DO7,DK19:DL23,2,TRUE),IF(AND(DK9=1,DM8&lt;=39),VLOOKUP(DO7,DK26:DL30,2,TRUE),IF(AND(DK9=1,DM8&lt;=49),VLOOKUP(DO7,DK32:DL36,2,TRUE),IF(AND(DK9=1,DM8&lt;=59),VLOOKUP(DO7,DK38:DL42,2,TRUE),IF(AND(DK9=1,DM8&lt;=69),VLOOKUP(DO7,DK44:DL48,2,TRUE),"-"))))))))))</f>
        <v>-</v>
      </c>
      <c r="DO12" s="121"/>
      <c r="DT12" s="426" t="s">
        <v>17</v>
      </c>
      <c r="DU12" s="426"/>
      <c r="DV12" s="45">
        <f>'Avaliação Física 4'!J72</f>
        <v>0</v>
      </c>
      <c r="EI12" s="15" t="e">
        <f>1.097-(0.00046971*(DV23))+(0.00000056*(DV23*DV23))-(0.00012828*(DV9))</f>
        <v>#VALUE!</v>
      </c>
      <c r="EL12" s="474" t="s">
        <v>45</v>
      </c>
      <c r="EM12" s="475"/>
      <c r="EN12" s="476"/>
    </row>
    <row r="13" spans="2:146" ht="15" x14ac:dyDescent="0.2">
      <c r="B13" s="227"/>
      <c r="C13" s="240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78"/>
      <c r="Q13" s="227"/>
      <c r="S13" s="107"/>
      <c r="T13" s="107" t="b">
        <v>0</v>
      </c>
      <c r="U13" s="107"/>
      <c r="V13" s="106"/>
      <c r="AH13" s="126" t="s">
        <v>52</v>
      </c>
      <c r="AI13" s="126"/>
      <c r="AJ13" s="31">
        <f>'Avaliação Física 4'!F88</f>
        <v>0</v>
      </c>
      <c r="AX13" s="42" t="s">
        <v>133</v>
      </c>
      <c r="AZ13" s="43" t="str">
        <f>AP12</f>
        <v>-</v>
      </c>
      <c r="BC13" s="50"/>
      <c r="BH13" s="42" t="s">
        <v>133</v>
      </c>
      <c r="BJ13" s="42"/>
      <c r="BK13" s="52"/>
      <c r="BN13" s="50"/>
      <c r="BR13" s="42" t="s">
        <v>133</v>
      </c>
      <c r="BT13" s="42">
        <v>11</v>
      </c>
      <c r="BU13" s="52"/>
      <c r="CM13" s="50"/>
      <c r="CQ13" s="42" t="s">
        <v>133</v>
      </c>
      <c r="CS13" s="42">
        <f>CD20</f>
        <v>0</v>
      </c>
      <c r="CT13" s="52"/>
      <c r="CU13" s="52"/>
      <c r="CX13" s="50"/>
      <c r="DB13" s="42" t="s">
        <v>133</v>
      </c>
      <c r="DD13" s="42">
        <f>CD12</f>
        <v>0</v>
      </c>
      <c r="DE13" s="52"/>
      <c r="EL13" s="20" t="s">
        <v>40</v>
      </c>
      <c r="EM13" s="21" t="e">
        <f>((4.95/EI9)-4.5)*100</f>
        <v>#VALUE!</v>
      </c>
      <c r="EN13" s="22"/>
    </row>
    <row r="14" spans="2:146" ht="15" x14ac:dyDescent="0.2">
      <c r="B14" s="227"/>
      <c r="C14" s="240"/>
      <c r="D14" s="221" t="s">
        <v>7</v>
      </c>
      <c r="E14" s="221"/>
      <c r="F14" s="221"/>
      <c r="G14" s="221"/>
      <c r="H14" s="221" t="s">
        <v>244</v>
      </c>
      <c r="I14" s="221"/>
      <c r="J14" s="221"/>
      <c r="K14" s="221"/>
      <c r="L14" s="221" t="s">
        <v>8</v>
      </c>
      <c r="M14" s="221"/>
      <c r="N14" s="306" t="s">
        <v>243</v>
      </c>
      <c r="O14" s="221"/>
      <c r="P14" s="278"/>
      <c r="Q14" s="227"/>
      <c r="S14" s="107"/>
      <c r="T14" s="107" t="b">
        <v>0</v>
      </c>
      <c r="U14" s="107"/>
      <c r="V14" s="106"/>
      <c r="AH14" s="310"/>
      <c r="AI14" s="310"/>
      <c r="AN14" s="126" t="s">
        <v>27</v>
      </c>
      <c r="AO14" s="126"/>
      <c r="AP14" s="130" t="str">
        <f>AY18</f>
        <v>-</v>
      </c>
      <c r="AQ14" s="130"/>
      <c r="AV14" s="42" t="s">
        <v>132</v>
      </c>
      <c r="AX14" s="42" t="str">
        <f>'Avaliação Física 4'!DV9</f>
        <v>-</v>
      </c>
      <c r="BC14" s="50"/>
      <c r="BF14" s="42" t="s">
        <v>132</v>
      </c>
      <c r="BH14" s="42" t="str">
        <f>AX14</f>
        <v>-</v>
      </c>
      <c r="BK14" s="52"/>
      <c r="BN14" s="50"/>
      <c r="BP14" s="42" t="s">
        <v>132</v>
      </c>
      <c r="BR14" s="42" t="str">
        <f>BH14</f>
        <v>-</v>
      </c>
      <c r="BU14" s="52"/>
      <c r="BZ14" s="310"/>
      <c r="CA14" s="310"/>
      <c r="CF14" s="126"/>
      <c r="CG14" s="126"/>
      <c r="CH14" s="126"/>
      <c r="CI14" s="126"/>
      <c r="CM14" s="50"/>
      <c r="CO14" s="42" t="s">
        <v>132</v>
      </c>
      <c r="CQ14" s="42" t="str">
        <f>CF9</f>
        <v>-</v>
      </c>
      <c r="CT14" s="52"/>
      <c r="CU14" s="52"/>
      <c r="CX14" s="50"/>
      <c r="CZ14" s="42" t="s">
        <v>132</v>
      </c>
      <c r="DB14" s="42" t="str">
        <f>CF9</f>
        <v>-</v>
      </c>
      <c r="DE14" s="52"/>
      <c r="DT14" s="490" t="s">
        <v>16</v>
      </c>
      <c r="DU14" s="490"/>
      <c r="DV14" s="490"/>
      <c r="EL14" s="23"/>
      <c r="EN14" s="22"/>
    </row>
    <row r="15" spans="2:146" ht="15" x14ac:dyDescent="0.2">
      <c r="B15" s="227"/>
      <c r="C15" s="240"/>
      <c r="D15" s="432"/>
      <c r="E15" s="433"/>
      <c r="F15" s="434"/>
      <c r="G15" s="221"/>
      <c r="H15" s="435"/>
      <c r="I15" s="433"/>
      <c r="J15" s="434"/>
      <c r="K15" s="221"/>
      <c r="L15" s="225"/>
      <c r="M15" s="220"/>
      <c r="N15" s="226"/>
      <c r="O15" s="221"/>
      <c r="P15" s="278"/>
      <c r="Q15" s="227"/>
      <c r="S15" s="107"/>
      <c r="T15" s="107" t="b">
        <v>0</v>
      </c>
      <c r="U15" s="107"/>
      <c r="V15" s="106"/>
      <c r="AH15" s="310"/>
      <c r="AI15" s="310"/>
      <c r="AJ15" s="314" t="s">
        <v>57</v>
      </c>
      <c r="AK15" s="314"/>
      <c r="AL15" s="314" t="s">
        <v>58</v>
      </c>
      <c r="AV15" s="42">
        <f>IF(L9="feminino",0,1)</f>
        <v>1</v>
      </c>
      <c r="BC15" s="50"/>
      <c r="BF15" s="42">
        <f>AV15</f>
        <v>1</v>
      </c>
      <c r="BK15" s="52"/>
      <c r="BN15" s="50"/>
      <c r="BP15" s="42">
        <f>BF15</f>
        <v>1</v>
      </c>
      <c r="BU15" s="52"/>
      <c r="CM15" s="50"/>
      <c r="CO15" s="42">
        <f>IF(CB9="feminino",0,1)</f>
        <v>1</v>
      </c>
      <c r="CT15" s="52"/>
      <c r="CU15" s="52"/>
      <c r="CX15" s="50"/>
      <c r="CZ15" s="42">
        <f>CO15</f>
        <v>1</v>
      </c>
      <c r="DE15" s="52"/>
      <c r="DT15" s="426" t="s">
        <v>18</v>
      </c>
      <c r="DU15" s="426"/>
      <c r="DV15" s="31">
        <f>'Avaliação Física 4'!F77</f>
        <v>0</v>
      </c>
      <c r="EL15" s="481" t="s">
        <v>44</v>
      </c>
      <c r="EM15" s="477"/>
      <c r="EN15" s="482"/>
    </row>
    <row r="16" spans="2:146" ht="15" x14ac:dyDescent="0.2">
      <c r="B16" s="227"/>
      <c r="C16" s="241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227"/>
      <c r="S16" s="107"/>
      <c r="T16" s="107" t="b">
        <v>0</v>
      </c>
      <c r="U16" s="107"/>
      <c r="V16" s="106"/>
      <c r="AH16" s="126" t="s">
        <v>53</v>
      </c>
      <c r="AI16" s="126"/>
      <c r="AJ16" s="31">
        <f>'Avaliação Física 4'!J84</f>
        <v>0</v>
      </c>
      <c r="AL16" s="31">
        <f>'Avaliação Física 4'!L84</f>
        <v>0</v>
      </c>
      <c r="AP16" s="314" t="s">
        <v>92</v>
      </c>
      <c r="AR16" s="314" t="s">
        <v>93</v>
      </c>
      <c r="BC16" s="133"/>
      <c r="BD16" s="126"/>
      <c r="BE16" s="314"/>
      <c r="BF16" s="314"/>
      <c r="BG16" s="314"/>
      <c r="BH16" s="314"/>
      <c r="BI16" s="126" t="s">
        <v>136</v>
      </c>
      <c r="BJ16" s="126"/>
      <c r="BK16" s="53"/>
      <c r="BL16" s="314"/>
      <c r="BM16" s="314"/>
      <c r="BN16" s="50"/>
      <c r="BS16" s="126" t="s">
        <v>137</v>
      </c>
      <c r="BT16" s="126"/>
      <c r="BU16" s="52"/>
      <c r="CM16" s="50"/>
      <c r="CR16" s="126" t="s">
        <v>136</v>
      </c>
      <c r="CS16" s="126"/>
      <c r="CT16" s="52"/>
      <c r="CU16" s="53"/>
      <c r="CV16" s="314"/>
      <c r="CW16" s="314"/>
      <c r="CX16" s="50"/>
      <c r="DC16" s="126" t="s">
        <v>137</v>
      </c>
      <c r="DD16" s="126"/>
      <c r="DE16" s="52"/>
      <c r="DT16" s="426" t="s">
        <v>19</v>
      </c>
      <c r="DU16" s="426"/>
      <c r="DV16" s="31">
        <f>'Avaliação Física 4'!F78</f>
        <v>0</v>
      </c>
      <c r="EH16" s="6" t="s">
        <v>26</v>
      </c>
      <c r="EI16" s="6" t="s">
        <v>27</v>
      </c>
      <c r="EL16" s="20" t="s">
        <v>40</v>
      </c>
      <c r="EM16" s="21" t="e">
        <f>((4.95/EI12)-4.5)*100</f>
        <v>#VALUE!</v>
      </c>
      <c r="EN16" s="22"/>
    </row>
    <row r="17" spans="2:144" ht="6" customHeight="1" thickBot="1" x14ac:dyDescent="0.25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S17" s="107"/>
      <c r="T17" s="107"/>
      <c r="U17" s="107"/>
      <c r="V17" s="106"/>
      <c r="AH17" s="126" t="s">
        <v>54</v>
      </c>
      <c r="AI17" s="126"/>
      <c r="AJ17" s="31">
        <f>'Avaliação Física 4'!J85</f>
        <v>0</v>
      </c>
      <c r="AL17" s="31">
        <f>'Avaliação Física 4'!L85</f>
        <v>0</v>
      </c>
      <c r="AN17" s="126" t="s">
        <v>12</v>
      </c>
      <c r="AO17" s="138"/>
      <c r="AP17" s="113"/>
      <c r="AR17" s="113"/>
      <c r="AU17" s="122" t="s">
        <v>37</v>
      </c>
      <c r="AV17" s="122"/>
      <c r="AY17" s="121" t="s">
        <v>27</v>
      </c>
      <c r="AZ17" s="121"/>
      <c r="BC17" s="134"/>
      <c r="BD17" s="85"/>
      <c r="BE17" s="122" t="s">
        <v>37</v>
      </c>
      <c r="BF17" s="122"/>
      <c r="BI17" s="121" t="s">
        <v>27</v>
      </c>
      <c r="BJ17" s="121"/>
      <c r="BK17" s="54"/>
      <c r="BL17" s="114"/>
      <c r="BM17" s="114"/>
      <c r="BN17" s="50"/>
      <c r="BO17" s="122" t="s">
        <v>37</v>
      </c>
      <c r="BP17" s="122"/>
      <c r="BS17" s="121" t="s">
        <v>27</v>
      </c>
      <c r="BT17" s="121"/>
      <c r="BU17" s="52"/>
      <c r="BZ17" s="126" t="s">
        <v>41</v>
      </c>
      <c r="CA17" s="126"/>
      <c r="CB17" s="144">
        <f>CB9</f>
        <v>0</v>
      </c>
      <c r="CC17" s="145"/>
      <c r="CD17" s="126" t="s">
        <v>148</v>
      </c>
      <c r="CE17" s="126"/>
      <c r="CF17" s="144" t="str">
        <f>CF9</f>
        <v>-</v>
      </c>
      <c r="CG17" s="145"/>
      <c r="CM17" s="50"/>
      <c r="CN17" s="122" t="s">
        <v>37</v>
      </c>
      <c r="CO17" s="122"/>
      <c r="CR17" s="121" t="s">
        <v>27</v>
      </c>
      <c r="CS17" s="121"/>
      <c r="CT17" s="52"/>
      <c r="CU17" s="54"/>
      <c r="CV17" s="114"/>
      <c r="CW17" s="114"/>
      <c r="CX17" s="50"/>
      <c r="CY17" s="122" t="s">
        <v>37</v>
      </c>
      <c r="CZ17" s="122"/>
      <c r="DC17" s="121" t="s">
        <v>27</v>
      </c>
      <c r="DD17" s="121"/>
      <c r="DE17" s="52"/>
      <c r="DH17" s="122" t="s">
        <v>37</v>
      </c>
      <c r="DI17" s="122"/>
      <c r="DK17" s="123" t="s">
        <v>135</v>
      </c>
      <c r="DL17" s="123"/>
      <c r="DT17" s="426" t="s">
        <v>20</v>
      </c>
      <c r="DU17" s="426"/>
      <c r="DV17" s="31">
        <f>'Avaliação Física 4'!J77</f>
        <v>0</v>
      </c>
      <c r="EH17" s="7">
        <v>0</v>
      </c>
      <c r="EI17" s="7" t="s">
        <v>28</v>
      </c>
      <c r="EL17" s="24"/>
      <c r="EM17" s="25"/>
      <c r="EN17" s="26"/>
    </row>
    <row r="18" spans="2:144" ht="15" x14ac:dyDescent="0.2">
      <c r="B18" s="227"/>
      <c r="C18" s="362" t="s">
        <v>202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227"/>
      <c r="S18" s="106"/>
      <c r="T18" s="106"/>
      <c r="U18" s="106"/>
      <c r="V18" s="106"/>
      <c r="AH18" s="126" t="s">
        <v>55</v>
      </c>
      <c r="AI18" s="126"/>
      <c r="AJ18" s="31">
        <f>'Avaliação Física 4'!J86</f>
        <v>0</v>
      </c>
      <c r="AL18" s="31">
        <f>'Avaliação Física 4'!L86</f>
        <v>0</v>
      </c>
      <c r="AU18" s="124" t="s">
        <v>64</v>
      </c>
      <c r="AV18" s="124"/>
      <c r="AY18" s="121" t="str">
        <f>IF(AND(AV15=0,AX14&lt;=29),VLOOKUP(AZ13,AU19:AV22,2,TRUE),IF(AND(AV15=0,AX14&lt;=39),VLOOKUP(AZ13,AU26:AV29,2,TRUE),IF(AND(AV15=0,AX14&lt;=49),VLOOKUP(AZ13,AU32:AV36,2,TRUE),IF(AND(AV15=0,AX14&lt;=59),VLOOKUP(AZ13,AU38:AV41,2,TRUE),IF(AND(AV15=0,AX14&lt;=69),VLOOKUP(AZ13,AU44:AV47,2,TRUE),IF(AND(AV15=1,AX14&lt;=29),VLOOKUP(AZ13,AX25:AY28,2,TRUE),IF(AND(AV15=1,AX14&lt;=39),VLOOKUP(AZ13,AX32:AY35,2,TRUE),IF(AND(AV15=1,AX14&lt;=49),VLOOKUP(AZ13,AX38:AY41,2,TRUE),IF(AND(AV15=1,AX14&lt;=59),VLOOKUP(AZ13,AX44:AY47,2,TRUE),IF(AND(AV15=1,AX14&lt;=69),VLOOKUP(AZ13,AX50:AY53,2,TRUE),"-"))))))))))</f>
        <v>-</v>
      </c>
      <c r="AZ18" s="121"/>
      <c r="BC18" s="134"/>
      <c r="BD18" s="85"/>
      <c r="BE18" s="124" t="s">
        <v>64</v>
      </c>
      <c r="BF18" s="124"/>
      <c r="BI18" s="121" t="str">
        <f>IF(AND(BF15=0,BH14&lt;=29),VLOOKUP(BJ13,BE19:BF22,2,TRUE),IF(AND(BF15=0,BH14&lt;=39),VLOOKUP(BJ13,BE26:BF27,2,TRUE),IF(AND(BF15=0,BH14&lt;=49),VLOOKUP(BJ13,#REF!,2,TRUE),IF(AND(BF15=0,BH14&lt;=59),VLOOKUP(BJ13,#REF!,2,TRUE),IF(AND(BF15=0,BH14&lt;=69),VLOOKUP(BJ13,BE28:BF31,2,TRUE),IF(AND(BF15=1,BH14&lt;=29),VLOOKUP(BJ13,BH25:BI27,2,TRUE),IF(AND(BF15=1,BH14&lt;=39),VLOOKUP(BJ13,#REF!,2,TRUE),IF(AND(BF15=1,BH14&lt;=49),VLOOKUP(BJ13,#REF!,2,TRUE),IF(AND(BF15=1,BH14&lt;=59),VLOOKUP(BJ13,BH28:BI31,2,TRUE),IF(AND(BF15=1,BH14&lt;=69),VLOOKUP(BJ13,BH34:BI40,2,TRUE),"-"))))))))))</f>
        <v>-</v>
      </c>
      <c r="BJ18" s="121"/>
      <c r="BK18" s="54"/>
      <c r="BL18" s="114"/>
      <c r="BM18" s="114"/>
      <c r="BN18" s="50"/>
      <c r="BO18" s="124" t="s">
        <v>139</v>
      </c>
      <c r="BP18" s="124"/>
      <c r="BS18" s="121" t="str">
        <f>IF(AND(BP15=0,BR14&lt;=19),VLOOKUP(BT13,BO19:BP23,2,TRUE),IF(AND(BP15=0,BR14&lt;=29),VLOOKUP(BT13,BO26:BP27,2,TRUE),IF(AND(BP15=0,BR14&lt;=39),VLOOKUP(BT13,#REF!,2,TRUE),IF(AND(BP15=0,BR14&lt;=49),VLOOKUP(BT13,#REF!,2,TRUE),IF(AND(BP15=0,BR14&lt;=59),VLOOKUP(BT13,BO28:BP31,2,TRUE),IF(AND(BP15=0,BR14&lt;=69),VLOOKUP(BT13,BO38:BP42,2,TRUE),IF(AND(BP15=1,BR14&lt;=19),VLOOKUP(BT13,BR25:BS27,2,TRUE),IF(AND(BP15=1,BR14&lt;=29),VLOOKUP(BT13,#REF!,2,TRUE),IF(AND(BP15=1,BR14&lt;=39),VLOOKUP(BT13,#REF!,2,TRUE),IF(AND(BP15=1,BR14&lt;=49),VLOOKUP(BT13,BR28:BS31,2,TRUE),IF(AND(BP15=1,BR14&lt;=59),VLOOKUP(BT13,BR34:BS40,2,TRUE),IF(AND(BP15=1,BR14&lt;=69),VLOOKUP(BT13,BR44:BS48,2,TRUE),"-"))))))))))))</f>
        <v>-</v>
      </c>
      <c r="BT18" s="121"/>
      <c r="BU18" s="52"/>
      <c r="CF18" s="126"/>
      <c r="CG18" s="126"/>
      <c r="CM18" s="50"/>
      <c r="CN18" s="124" t="s">
        <v>139</v>
      </c>
      <c r="CO18" s="124"/>
      <c r="CR18" s="121" t="str">
        <f>IF(AND(CO15=0,CQ14&lt;=19),VLOOKUP(CS13,CN19:CO23,2,TRUE),IF(AND(CO15=0,CQ14&lt;=29),VLOOKUP(CS13,CN26:CO30,2,TRUE),IF(AND(CO15=0,CQ14&lt;=39),VLOOKUP(CS13,CN32:CO36,2,TRUE),IF(AND(CO15=0,CQ14&lt;=49),VLOOKUP(CS13,CN38:CO42,2,TRUE),IF(AND(CO15=0,CQ14&lt;=59),VLOOKUP(CS13,CN44:CO48,2,TRUE),IF(AND(CO15=0,CQ14&lt;=69),VLOOKUP(CS13,CN51:CO55,2,TRUE),IF(AND(CO15=1,CQ14&lt;=19),VLOOKUP(CS13,CQ25:CR29,2,TRUE),IF(AND(CO15=1,CQ14&lt;=29),VLOOKUP(CS13,CQ32:CR36,2,TRUE),IF(AND(CO15=1,CQ14&lt;=39),VLOOKUP(CS13,CQ38:CR42,2,TRUE),IF(AND(CO15=1,CQ14&lt;=49),VLOOKUP(CS13,CQ44:CR48,2,TRUE),IF(AND(CO15=1,CQ14&lt;=59),VLOOKUP(CS13,CQ50:CR54,2,TRUE),IF(AND(CO15=1,CQ14&lt;=69),VLOOKUP(CS13,CQ57:CR61,2,TRUE),"-"))))))))))))</f>
        <v>-</v>
      </c>
      <c r="CS18" s="121"/>
      <c r="CT18" s="52"/>
      <c r="CU18" s="54"/>
      <c r="CV18" s="114"/>
      <c r="CW18" s="114"/>
      <c r="CX18" s="50"/>
      <c r="CY18" s="124" t="s">
        <v>139</v>
      </c>
      <c r="CZ18" s="124"/>
      <c r="DC18" s="121" t="str">
        <f>IF(AND(CZ15=0,DB14&lt;=19),VLOOKUP(DD13,CY19:CZ23,2,TRUE),IF(AND(CZ15=0,DB14&lt;=29),VLOOKUP(DD13,CY26:CZ30,2,TRUE),IF(AND(CZ15=0,DB14&lt;=39),VLOOKUP(DD13,CY32:CZ36,2,TRUE),IF(AND(CZ15=0,DB14&lt;=49),VLOOKUP(DD13,CY38:CZ42,2,TRUE),IF(AND(CZ15=0,DB14&lt;=59),VLOOKUP(DD13,CY44:CZ48,2,TRUE),IF(AND(CZ15=0,DB14&lt;=69),VLOOKUP(DD13,CY51:CZ55,2,TRUE),IF(AND(CZ15=1,DB14&lt;=19),VLOOKUP(DD13,DB25:DC28,2,TRUE),IF(AND(CZ15=1,DB14&lt;=29),VLOOKUP(DD13,DB32:DC36,2,TRUE),IF(AND(CZ15=1,DB14&lt;=39),VLOOKUP(DD13,DB38:DC42,2,TRUE),IF(AND(CZ15=1,DB14&lt;=49),VLOOKUP(DD13,DB44:DC48,2,TRUE),IF(AND(CZ15=1,DB14&lt;=59),VLOOKUP(DD13,DB50:DC54,2,TRUE),IF(AND(CZ15=1,DB14&lt;=69),VLOOKUP(DD13,DB57:DC61,2,TRUE),"-"))))))))))))</f>
        <v>-</v>
      </c>
      <c r="DD18" s="121"/>
      <c r="DE18" s="52"/>
      <c r="DH18" s="124" t="s">
        <v>195</v>
      </c>
      <c r="DI18" s="124"/>
      <c r="DK18" s="125" t="s">
        <v>195</v>
      </c>
      <c r="DL18" s="125"/>
      <c r="DT18" s="426" t="s">
        <v>21</v>
      </c>
      <c r="DU18" s="426"/>
      <c r="DV18" s="31">
        <f>'Avaliação Física 4'!J78</f>
        <v>0</v>
      </c>
      <c r="EH18" s="7">
        <v>16.100000000000001</v>
      </c>
      <c r="EI18" s="7" t="s">
        <v>29</v>
      </c>
    </row>
    <row r="19" spans="2:144" ht="15.75" thickBot="1" x14ac:dyDescent="0.25">
      <c r="B19" s="227"/>
      <c r="C19" s="238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76"/>
      <c r="P19" s="277"/>
      <c r="Q19" s="227"/>
      <c r="AH19" s="126" t="s">
        <v>56</v>
      </c>
      <c r="AI19" s="126"/>
      <c r="AJ19" s="31">
        <f>'Avaliação Física 4'!J87</f>
        <v>0</v>
      </c>
      <c r="AL19" s="31">
        <f>'Avaliação Física 4'!L87</f>
        <v>0</v>
      </c>
      <c r="AN19" s="126" t="s">
        <v>91</v>
      </c>
      <c r="AO19" s="138"/>
      <c r="AP19" s="31"/>
      <c r="AQ19" s="131" t="s">
        <v>94</v>
      </c>
      <c r="AR19" s="126"/>
      <c r="AU19" s="33">
        <v>0.01</v>
      </c>
      <c r="AV19" s="34" t="s">
        <v>126</v>
      </c>
      <c r="BC19" s="134"/>
      <c r="BD19" s="85"/>
      <c r="BE19" s="33">
        <v>0.01</v>
      </c>
      <c r="BF19" s="34" t="s">
        <v>126</v>
      </c>
      <c r="BK19" s="54"/>
      <c r="BL19" s="114"/>
      <c r="BM19" s="114"/>
      <c r="BN19" s="50"/>
      <c r="BO19" s="58">
        <v>1</v>
      </c>
      <c r="BP19" s="34" t="s">
        <v>144</v>
      </c>
      <c r="BU19" s="52"/>
      <c r="BZ19" s="126"/>
      <c r="CA19" s="126"/>
      <c r="CM19" s="50"/>
      <c r="CN19" s="67">
        <v>0</v>
      </c>
      <c r="CO19" s="34" t="s">
        <v>144</v>
      </c>
      <c r="CT19" s="52"/>
      <c r="CU19" s="54"/>
      <c r="CV19" s="114"/>
      <c r="CW19" s="114"/>
      <c r="CX19" s="50"/>
      <c r="CY19" s="67">
        <v>0</v>
      </c>
      <c r="CZ19" s="34" t="s">
        <v>144</v>
      </c>
      <c r="DE19" s="52"/>
      <c r="DH19" s="67">
        <v>0</v>
      </c>
      <c r="DI19" s="34" t="s">
        <v>196</v>
      </c>
      <c r="DK19" s="63">
        <v>0</v>
      </c>
      <c r="DL19" s="37" t="s">
        <v>196</v>
      </c>
      <c r="DT19" s="426" t="s">
        <v>43</v>
      </c>
      <c r="DU19" s="426"/>
      <c r="DV19" s="31">
        <f>'Avaliação Física 4'!J79</f>
        <v>0</v>
      </c>
      <c r="EH19" s="7">
        <v>17</v>
      </c>
      <c r="EI19" s="7" t="s">
        <v>30</v>
      </c>
    </row>
    <row r="20" spans="2:144" ht="15" x14ac:dyDescent="0.2">
      <c r="B20" s="227"/>
      <c r="C20" s="240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21"/>
      <c r="P20" s="278"/>
      <c r="Q20" s="227"/>
      <c r="AU20" s="34">
        <v>0.71</v>
      </c>
      <c r="AV20" s="34" t="s">
        <v>127</v>
      </c>
      <c r="BC20" s="134"/>
      <c r="BD20" s="85"/>
      <c r="BE20" s="34">
        <v>0.71</v>
      </c>
      <c r="BF20" s="34" t="s">
        <v>127</v>
      </c>
      <c r="BK20" s="54"/>
      <c r="BL20" s="114"/>
      <c r="BM20" s="114"/>
      <c r="BN20" s="50"/>
      <c r="BO20" s="58">
        <v>12</v>
      </c>
      <c r="BP20" s="34" t="s">
        <v>143</v>
      </c>
      <c r="BU20" s="52"/>
      <c r="BZ20" s="126" t="s">
        <v>149</v>
      </c>
      <c r="CA20" s="126"/>
      <c r="CB20" s="126"/>
      <c r="CC20" s="126"/>
      <c r="CD20" s="113">
        <f>'Avaliação Física 4'!L272</f>
        <v>0</v>
      </c>
      <c r="CF20" s="126" t="s">
        <v>150</v>
      </c>
      <c r="CG20" s="126"/>
      <c r="CH20" s="44" t="str">
        <f>IF(CD20="","-",CR18)</f>
        <v>-</v>
      </c>
      <c r="CI20" s="21"/>
      <c r="CM20" s="50"/>
      <c r="CN20" s="67">
        <v>27</v>
      </c>
      <c r="CO20" s="34" t="s">
        <v>143</v>
      </c>
      <c r="CT20" s="52"/>
      <c r="CU20" s="54"/>
      <c r="CV20" s="114"/>
      <c r="CW20" s="114"/>
      <c r="CX20" s="50"/>
      <c r="CY20" s="67">
        <v>12</v>
      </c>
      <c r="CZ20" s="34" t="s">
        <v>143</v>
      </c>
      <c r="DE20" s="52"/>
      <c r="DH20" s="67">
        <v>24</v>
      </c>
      <c r="DI20" s="34" t="s">
        <v>144</v>
      </c>
      <c r="DK20" s="63">
        <v>25</v>
      </c>
      <c r="DL20" s="37" t="s">
        <v>144</v>
      </c>
      <c r="DT20" s="426" t="s">
        <v>22</v>
      </c>
      <c r="DU20" s="426"/>
      <c r="DV20" s="31">
        <f>'Avaliação Física 4'!N77</f>
        <v>0</v>
      </c>
      <c r="EH20" s="7">
        <v>18.5</v>
      </c>
      <c r="EI20" s="7" t="s">
        <v>31</v>
      </c>
      <c r="EL20" s="17" t="s">
        <v>42</v>
      </c>
    </row>
    <row r="21" spans="2:144" ht="6" customHeight="1" thickBot="1" x14ac:dyDescent="0.25">
      <c r="B21" s="227"/>
      <c r="C21" s="241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79"/>
      <c r="P21" s="280"/>
      <c r="Q21" s="227"/>
      <c r="AH21" s="135" t="s">
        <v>60</v>
      </c>
      <c r="AI21" s="135"/>
      <c r="AJ21" s="135"/>
      <c r="AK21" s="135"/>
      <c r="AL21" s="135"/>
      <c r="AU21" s="34">
        <v>0.78</v>
      </c>
      <c r="AV21" s="34" t="s">
        <v>128</v>
      </c>
      <c r="BC21" s="134"/>
      <c r="BD21" s="85"/>
      <c r="BE21" s="34">
        <v>0.78</v>
      </c>
      <c r="BF21" s="34" t="s">
        <v>128</v>
      </c>
      <c r="BK21" s="54"/>
      <c r="BL21" s="114"/>
      <c r="BM21" s="114"/>
      <c r="BN21" s="50"/>
      <c r="BO21" s="58">
        <v>18</v>
      </c>
      <c r="BP21" s="34" t="s">
        <v>142</v>
      </c>
      <c r="BU21" s="52"/>
      <c r="CM21" s="50"/>
      <c r="CN21" s="67">
        <v>32</v>
      </c>
      <c r="CO21" s="34" t="s">
        <v>142</v>
      </c>
      <c r="CT21" s="52"/>
      <c r="CU21" s="54"/>
      <c r="CV21" s="114"/>
      <c r="CW21" s="114"/>
      <c r="CX21" s="50"/>
      <c r="CY21" s="67">
        <v>18</v>
      </c>
      <c r="CZ21" s="34" t="s">
        <v>142</v>
      </c>
      <c r="DE21" s="52"/>
      <c r="DH21" s="67">
        <v>31</v>
      </c>
      <c r="DI21" s="34" t="s">
        <v>143</v>
      </c>
      <c r="DK21" s="63">
        <v>34</v>
      </c>
      <c r="DL21" s="37" t="s">
        <v>143</v>
      </c>
      <c r="DT21" s="426" t="s">
        <v>23</v>
      </c>
      <c r="DU21" s="426"/>
      <c r="DV21" s="31">
        <f>'Avaliação Física 4'!N78</f>
        <v>0</v>
      </c>
      <c r="EH21" s="7">
        <v>24.5</v>
      </c>
      <c r="EI21" s="7" t="s">
        <v>32</v>
      </c>
      <c r="EL21" s="18" t="e">
        <f>IF(EJ4=0,SUM(1.097-(0.00046971*(DV23))+(0.00000056*(DV23*DV23))-(0.00012828*(DV9))),SUM(1.112-(0.00043499*(DV23))+(0.00000055*(DV23*DV23))-(0.00028826*(DV9))))</f>
        <v>#VALUE!</v>
      </c>
    </row>
    <row r="22" spans="2:144" ht="5.45" customHeight="1" x14ac:dyDescent="0.2">
      <c r="B22" s="227"/>
      <c r="Q22" s="227"/>
      <c r="AH22" s="314"/>
      <c r="AI22" s="314"/>
      <c r="AJ22" s="314" t="s">
        <v>57</v>
      </c>
      <c r="AK22" s="314"/>
      <c r="AL22" s="314" t="s">
        <v>58</v>
      </c>
      <c r="AU22" s="34">
        <v>0.83</v>
      </c>
      <c r="AV22" s="34" t="s">
        <v>129</v>
      </c>
      <c r="BC22" s="50"/>
      <c r="BE22" s="34">
        <v>0.83</v>
      </c>
      <c r="BF22" s="34" t="s">
        <v>129</v>
      </c>
      <c r="BK22" s="54"/>
      <c r="BL22" s="114"/>
      <c r="BM22" s="114"/>
      <c r="BN22" s="50"/>
      <c r="BO22" s="58">
        <v>25</v>
      </c>
      <c r="BP22" s="34" t="s">
        <v>140</v>
      </c>
      <c r="BU22" s="52"/>
      <c r="BZ22" s="310"/>
      <c r="CA22" s="310"/>
      <c r="CF22" s="126"/>
      <c r="CG22" s="126"/>
      <c r="CH22" s="126"/>
      <c r="CI22" s="126"/>
      <c r="CM22" s="50"/>
      <c r="CN22" s="67">
        <v>36</v>
      </c>
      <c r="CO22" s="34" t="s">
        <v>140</v>
      </c>
      <c r="CT22" s="52"/>
      <c r="CU22" s="54"/>
      <c r="CV22" s="114"/>
      <c r="CW22" s="114"/>
      <c r="CX22" s="50"/>
      <c r="CY22" s="67">
        <v>25</v>
      </c>
      <c r="CZ22" s="34" t="s">
        <v>140</v>
      </c>
      <c r="DE22" s="52"/>
      <c r="DH22" s="67">
        <v>38</v>
      </c>
      <c r="DI22" s="34" t="s">
        <v>140</v>
      </c>
      <c r="DK22" s="63">
        <v>45</v>
      </c>
      <c r="DL22" s="37" t="s">
        <v>140</v>
      </c>
      <c r="EH22" s="7">
        <v>30</v>
      </c>
      <c r="EI22" s="7" t="s">
        <v>33</v>
      </c>
    </row>
    <row r="23" spans="2:144" ht="15" customHeight="1" thickBot="1" x14ac:dyDescent="0.25">
      <c r="B23" s="227"/>
      <c r="C23" s="362" t="s">
        <v>225</v>
      </c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227"/>
      <c r="AH23" s="136" t="s">
        <v>224</v>
      </c>
      <c r="AI23" s="137"/>
      <c r="AJ23" s="31"/>
      <c r="AL23" s="31"/>
      <c r="AU23" s="35"/>
      <c r="AV23" s="35"/>
      <c r="AX23" s="123" t="s">
        <v>135</v>
      </c>
      <c r="AY23" s="123"/>
      <c r="AZ23" s="21"/>
      <c r="BC23" s="134"/>
      <c r="BD23" s="85"/>
      <c r="BE23" s="35"/>
      <c r="BF23" s="35"/>
      <c r="BH23" s="123" t="s">
        <v>135</v>
      </c>
      <c r="BI23" s="123"/>
      <c r="BJ23" s="21"/>
      <c r="BK23" s="54"/>
      <c r="BL23" s="114"/>
      <c r="BM23" s="114"/>
      <c r="BN23" s="50"/>
      <c r="BO23" s="35">
        <v>33</v>
      </c>
      <c r="BP23" s="35" t="s">
        <v>141</v>
      </c>
      <c r="BR23" s="123" t="s">
        <v>135</v>
      </c>
      <c r="BS23" s="123"/>
      <c r="BT23" s="21"/>
      <c r="BU23" s="52"/>
      <c r="CM23" s="50"/>
      <c r="CN23" s="66">
        <v>42</v>
      </c>
      <c r="CO23" s="35" t="s">
        <v>141</v>
      </c>
      <c r="CQ23" s="123" t="s">
        <v>135</v>
      </c>
      <c r="CR23" s="123"/>
      <c r="CS23" s="21"/>
      <c r="CT23" s="52"/>
      <c r="CU23" s="54"/>
      <c r="CV23" s="114"/>
      <c r="CW23" s="114"/>
      <c r="CX23" s="50"/>
      <c r="CY23" s="66">
        <v>33</v>
      </c>
      <c r="CZ23" s="35" t="s">
        <v>141</v>
      </c>
      <c r="DB23" s="123" t="s">
        <v>135</v>
      </c>
      <c r="DC23" s="123"/>
      <c r="DD23" s="21"/>
      <c r="DE23" s="52"/>
      <c r="DH23" s="66">
        <v>49</v>
      </c>
      <c r="DI23" s="35" t="s">
        <v>141</v>
      </c>
      <c r="DK23" s="64">
        <v>53</v>
      </c>
      <c r="DL23" s="38" t="s">
        <v>141</v>
      </c>
      <c r="DT23" s="426" t="s">
        <v>24</v>
      </c>
      <c r="DU23" s="426"/>
      <c r="DV23" s="8">
        <f>IF(DV15="","-",SUM(DV15:DV21))</f>
        <v>0</v>
      </c>
      <c r="EH23" s="7">
        <v>35</v>
      </c>
      <c r="EI23" s="7" t="s">
        <v>34</v>
      </c>
    </row>
    <row r="24" spans="2:144" ht="14.45" customHeight="1" x14ac:dyDescent="0.2">
      <c r="C24" s="23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  <c r="AH24" s="139"/>
      <c r="AI24" s="140"/>
      <c r="AJ24" s="31"/>
      <c r="AL24" s="31"/>
      <c r="AU24" s="35"/>
      <c r="AV24" s="35"/>
      <c r="AX24" s="125" t="s">
        <v>64</v>
      </c>
      <c r="AY24" s="125"/>
      <c r="BC24" s="134"/>
      <c r="BD24" s="85"/>
      <c r="BE24" s="35"/>
      <c r="BF24" s="35"/>
      <c r="BH24" s="125" t="s">
        <v>64</v>
      </c>
      <c r="BI24" s="125"/>
      <c r="BK24" s="54"/>
      <c r="BL24" s="114"/>
      <c r="BM24" s="114"/>
      <c r="BN24" s="50"/>
      <c r="BO24" s="35"/>
      <c r="BP24" s="35"/>
      <c r="BR24" s="125" t="s">
        <v>147</v>
      </c>
      <c r="BS24" s="125"/>
      <c r="BU24" s="52"/>
      <c r="CM24" s="50"/>
      <c r="CN24" s="35"/>
      <c r="CO24" s="35"/>
      <c r="CQ24" s="125" t="s">
        <v>147</v>
      </c>
      <c r="CR24" s="125"/>
      <c r="CT24" s="52"/>
      <c r="CU24" s="54"/>
      <c r="CV24" s="114"/>
      <c r="CW24" s="114"/>
      <c r="CX24" s="50"/>
      <c r="CY24" s="35"/>
      <c r="CZ24" s="35"/>
      <c r="DB24" s="125" t="s">
        <v>147</v>
      </c>
      <c r="DC24" s="125"/>
      <c r="DE24" s="52"/>
      <c r="DH24" s="35"/>
      <c r="DI24" s="35"/>
      <c r="DK24" s="38"/>
      <c r="DL24" s="38"/>
      <c r="EH24" s="7"/>
      <c r="EI24" s="7"/>
      <c r="EL24" s="13"/>
    </row>
    <row r="25" spans="2:144" ht="14.45" customHeight="1" x14ac:dyDescent="0.2">
      <c r="C25" s="240"/>
      <c r="D25" s="221" t="s">
        <v>247</v>
      </c>
      <c r="E25" s="221"/>
      <c r="F25" s="221"/>
      <c r="G25" s="221"/>
      <c r="H25" s="221"/>
      <c r="I25" s="221"/>
      <c r="J25" s="460"/>
      <c r="K25" s="460"/>
      <c r="L25" s="460"/>
      <c r="M25" s="460"/>
      <c r="N25" s="460"/>
      <c r="O25" s="221"/>
      <c r="P25" s="278"/>
      <c r="AH25" s="139"/>
      <c r="AI25" s="140"/>
      <c r="AJ25" s="31"/>
      <c r="AL25" s="31"/>
      <c r="AU25" s="124" t="s">
        <v>65</v>
      </c>
      <c r="AV25" s="124"/>
      <c r="AX25" s="40">
        <v>0.01</v>
      </c>
      <c r="AY25" s="37" t="s">
        <v>126</v>
      </c>
      <c r="BC25" s="134"/>
      <c r="BD25" s="85"/>
      <c r="BE25" s="124" t="s">
        <v>65</v>
      </c>
      <c r="BF25" s="124"/>
      <c r="BH25" s="40">
        <v>0.01</v>
      </c>
      <c r="BI25" s="37" t="s">
        <v>126</v>
      </c>
      <c r="BK25" s="54"/>
      <c r="BL25" s="114"/>
      <c r="BM25" s="114"/>
      <c r="BN25" s="50"/>
      <c r="BO25" s="124" t="s">
        <v>145</v>
      </c>
      <c r="BP25" s="124"/>
      <c r="BR25" s="63">
        <v>1</v>
      </c>
      <c r="BS25" s="37" t="s">
        <v>144</v>
      </c>
      <c r="BU25" s="52"/>
      <c r="BZ25" s="126" t="s">
        <v>41</v>
      </c>
      <c r="CA25" s="126"/>
      <c r="CB25" s="144">
        <f>CB17</f>
        <v>0</v>
      </c>
      <c r="CC25" s="145"/>
      <c r="CD25" s="126" t="s">
        <v>148</v>
      </c>
      <c r="CE25" s="126"/>
      <c r="CF25" s="144" t="str">
        <f>CF17</f>
        <v>-</v>
      </c>
      <c r="CG25" s="145"/>
      <c r="CH25" s="131" t="s">
        <v>197</v>
      </c>
      <c r="CI25" s="138"/>
      <c r="CJ25" s="10">
        <f>'Avaliação Física 4'!DV11</f>
        <v>0</v>
      </c>
      <c r="CM25" s="50"/>
      <c r="CN25" s="124" t="s">
        <v>145</v>
      </c>
      <c r="CO25" s="124"/>
      <c r="CQ25" s="63">
        <v>0</v>
      </c>
      <c r="CR25" s="37" t="s">
        <v>144</v>
      </c>
      <c r="CT25" s="52"/>
      <c r="CU25" s="54"/>
      <c r="CV25" s="114"/>
      <c r="CW25" s="114"/>
      <c r="CX25" s="50"/>
      <c r="CY25" s="124" t="s">
        <v>145</v>
      </c>
      <c r="CZ25" s="124"/>
      <c r="DB25" s="63">
        <v>0</v>
      </c>
      <c r="DC25" s="37" t="s">
        <v>144</v>
      </c>
      <c r="DE25" s="52"/>
      <c r="DH25" s="124" t="s">
        <v>65</v>
      </c>
      <c r="DI25" s="124"/>
      <c r="DK25" s="125" t="s">
        <v>65</v>
      </c>
      <c r="DL25" s="125"/>
      <c r="DU25" s="135"/>
      <c r="DV25" s="135" t="s">
        <v>25</v>
      </c>
      <c r="EH25" s="7">
        <v>40</v>
      </c>
      <c r="EI25" s="7" t="s">
        <v>35</v>
      </c>
      <c r="EL25" s="16" t="s">
        <v>47</v>
      </c>
    </row>
    <row r="26" spans="2:144" ht="14.45" customHeight="1" x14ac:dyDescent="0.2">
      <c r="C26" s="240"/>
      <c r="D26" s="221" t="s">
        <v>248</v>
      </c>
      <c r="E26" s="221"/>
      <c r="F26" s="221"/>
      <c r="G26" s="221"/>
      <c r="H26" s="221"/>
      <c r="I26" s="221"/>
      <c r="J26" s="460"/>
      <c r="K26" s="460"/>
      <c r="L26" s="460"/>
      <c r="M26" s="460"/>
      <c r="N26" s="460"/>
      <c r="O26" s="221"/>
      <c r="P26" s="278"/>
      <c r="AH26" s="139"/>
      <c r="AI26" s="140"/>
      <c r="AJ26" s="31"/>
      <c r="AL26" s="31"/>
      <c r="AO26" s="132"/>
      <c r="AP26" s="132"/>
      <c r="AU26" s="36">
        <v>0.01</v>
      </c>
      <c r="AV26" s="34" t="s">
        <v>126</v>
      </c>
      <c r="AX26" s="110">
        <v>0.83</v>
      </c>
      <c r="AY26" s="37" t="s">
        <v>127</v>
      </c>
      <c r="BC26" s="134"/>
      <c r="BD26" s="85"/>
      <c r="BE26" s="36">
        <v>0.01</v>
      </c>
      <c r="BF26" s="34" t="s">
        <v>126</v>
      </c>
      <c r="BH26" s="110">
        <v>0.83</v>
      </c>
      <c r="BI26" s="37" t="s">
        <v>127</v>
      </c>
      <c r="BK26" s="54"/>
      <c r="BL26" s="114"/>
      <c r="BM26" s="114"/>
      <c r="BN26" s="50"/>
      <c r="BO26" s="59">
        <v>1</v>
      </c>
      <c r="BP26" s="34" t="s">
        <v>144</v>
      </c>
      <c r="BR26" s="63">
        <v>18</v>
      </c>
      <c r="BS26" s="37" t="s">
        <v>143</v>
      </c>
      <c r="BU26" s="52"/>
      <c r="CF26" s="126"/>
      <c r="CG26" s="126"/>
      <c r="CM26" s="50"/>
      <c r="CN26" s="59">
        <v>0</v>
      </c>
      <c r="CO26" s="34" t="s">
        <v>144</v>
      </c>
      <c r="CQ26" s="63">
        <v>33</v>
      </c>
      <c r="CR26" s="37" t="s">
        <v>143</v>
      </c>
      <c r="CT26" s="52"/>
      <c r="CU26" s="54"/>
      <c r="CV26" s="114"/>
      <c r="CW26" s="114"/>
      <c r="CX26" s="50"/>
      <c r="CY26" s="59">
        <v>0</v>
      </c>
      <c r="CZ26" s="34" t="s">
        <v>144</v>
      </c>
      <c r="DB26" s="63">
        <v>18</v>
      </c>
      <c r="DC26" s="37" t="s">
        <v>143</v>
      </c>
      <c r="DE26" s="52"/>
      <c r="DH26" s="59">
        <v>0</v>
      </c>
      <c r="DI26" s="34" t="s">
        <v>196</v>
      </c>
      <c r="DK26" s="65">
        <v>0</v>
      </c>
      <c r="DL26" s="37" t="s">
        <v>196</v>
      </c>
      <c r="DT26" s="477" t="s">
        <v>120</v>
      </c>
      <c r="DU26" s="489"/>
      <c r="DV26" s="28" t="str">
        <f>IF(DV11=0,"-",(EL26))</f>
        <v>-</v>
      </c>
      <c r="EL26" s="19" t="e">
        <f>((4.95/EL21)-4.5)*100</f>
        <v>#VALUE!</v>
      </c>
    </row>
    <row r="27" spans="2:144" ht="15" customHeight="1" thickBot="1" x14ac:dyDescent="0.25">
      <c r="C27" s="240"/>
      <c r="D27" s="221" t="s">
        <v>249</v>
      </c>
      <c r="E27" s="221"/>
      <c r="F27" s="221"/>
      <c r="G27" s="221"/>
      <c r="H27" s="221"/>
      <c r="I27" s="221"/>
      <c r="J27" s="460"/>
      <c r="K27" s="460"/>
      <c r="L27" s="460"/>
      <c r="M27" s="460"/>
      <c r="N27" s="460"/>
      <c r="O27" s="221"/>
      <c r="P27" s="278"/>
      <c r="AU27" s="36">
        <v>0.72</v>
      </c>
      <c r="AV27" s="34" t="s">
        <v>127</v>
      </c>
      <c r="AX27" s="110">
        <v>0.89</v>
      </c>
      <c r="AY27" s="37" t="s">
        <v>128</v>
      </c>
      <c r="BC27" s="134"/>
      <c r="BD27" s="85"/>
      <c r="BE27" s="36">
        <v>0.72</v>
      </c>
      <c r="BF27" s="34" t="s">
        <v>127</v>
      </c>
      <c r="BH27" s="110">
        <v>0.89</v>
      </c>
      <c r="BI27" s="37" t="s">
        <v>128</v>
      </c>
      <c r="BK27" s="54"/>
      <c r="BL27" s="114"/>
      <c r="BM27" s="114"/>
      <c r="BN27" s="50"/>
      <c r="BO27" s="59">
        <v>10</v>
      </c>
      <c r="BP27" s="34" t="s">
        <v>143</v>
      </c>
      <c r="BR27" s="63">
        <v>23</v>
      </c>
      <c r="BS27" s="37" t="s">
        <v>142</v>
      </c>
      <c r="BU27" s="52"/>
      <c r="CA27" s="126" t="s">
        <v>199</v>
      </c>
      <c r="CB27" s="126"/>
      <c r="CC27" s="126"/>
      <c r="CF27" t="s">
        <v>200</v>
      </c>
      <c r="CM27" s="50"/>
      <c r="CN27" s="59">
        <v>21</v>
      </c>
      <c r="CO27" s="34" t="s">
        <v>143</v>
      </c>
      <c r="CQ27" s="63">
        <v>38</v>
      </c>
      <c r="CR27" s="37" t="s">
        <v>142</v>
      </c>
      <c r="CT27" s="52"/>
      <c r="CU27" s="54"/>
      <c r="CV27" s="114"/>
      <c r="CW27" s="114"/>
      <c r="CX27" s="50"/>
      <c r="CY27" s="59">
        <v>10</v>
      </c>
      <c r="CZ27" s="34" t="s">
        <v>143</v>
      </c>
      <c r="DB27" s="63">
        <v>23</v>
      </c>
      <c r="DC27" s="37" t="s">
        <v>142</v>
      </c>
      <c r="DE27" s="52"/>
      <c r="DH27" s="59">
        <v>20</v>
      </c>
      <c r="DI27" s="34" t="s">
        <v>144</v>
      </c>
      <c r="DK27" s="65">
        <v>23</v>
      </c>
      <c r="DL27" s="37" t="s">
        <v>144</v>
      </c>
      <c r="DT27" s="477" t="s">
        <v>121</v>
      </c>
      <c r="DU27" s="489"/>
      <c r="DV27" s="9" t="str">
        <f>IF(DV11=0,"-",(DV11-DV28))</f>
        <v>-</v>
      </c>
      <c r="EL27" s="15"/>
    </row>
    <row r="28" spans="2:144" ht="14.45" customHeight="1" x14ac:dyDescent="0.2">
      <c r="C28" s="240"/>
      <c r="D28" s="221" t="s">
        <v>250</v>
      </c>
      <c r="E28" s="221"/>
      <c r="F28" s="221"/>
      <c r="G28" s="221"/>
      <c r="H28" s="221"/>
      <c r="I28" s="221"/>
      <c r="J28" s="460"/>
      <c r="K28" s="460"/>
      <c r="L28" s="460"/>
      <c r="M28" s="460"/>
      <c r="N28" s="460"/>
      <c r="O28" s="221"/>
      <c r="P28" s="278"/>
      <c r="AU28" s="36">
        <v>0.79</v>
      </c>
      <c r="AV28" s="34" t="s">
        <v>128</v>
      </c>
      <c r="AX28" s="110">
        <v>0.95</v>
      </c>
      <c r="AY28" s="37" t="s">
        <v>129</v>
      </c>
      <c r="BC28" s="50"/>
      <c r="BE28" s="36">
        <v>0.01</v>
      </c>
      <c r="BF28" s="34" t="s">
        <v>126</v>
      </c>
      <c r="BH28" s="39">
        <v>0.01</v>
      </c>
      <c r="BI28" s="37" t="s">
        <v>126</v>
      </c>
      <c r="BK28" s="52"/>
      <c r="BN28" s="50"/>
      <c r="BO28" s="59">
        <v>1</v>
      </c>
      <c r="BP28" s="34" t="s">
        <v>144</v>
      </c>
      <c r="BR28" s="65">
        <v>1</v>
      </c>
      <c r="BS28" s="37" t="s">
        <v>144</v>
      </c>
      <c r="BU28" s="52"/>
      <c r="CB28" s="151" t="e">
        <f>'Avaliação Física 4'!D290:E290</f>
        <v>#VALUE!</v>
      </c>
      <c r="CC28" s="152"/>
      <c r="CF28" s="155" t="e">
        <f>((CB28/1000)*60)/12</f>
        <v>#VALUE!</v>
      </c>
      <c r="CG28" s="156"/>
      <c r="CJ28" s="87" t="e">
        <f>CF28</f>
        <v>#VALUE!</v>
      </c>
      <c r="CL28" s="6"/>
      <c r="CM28" s="50"/>
      <c r="CN28" s="59">
        <v>25</v>
      </c>
      <c r="CO28" s="34" t="s">
        <v>142</v>
      </c>
      <c r="CQ28" s="63">
        <v>42</v>
      </c>
      <c r="CR28" s="37" t="s">
        <v>140</v>
      </c>
      <c r="CT28" s="52"/>
      <c r="CU28" s="52"/>
      <c r="CX28" s="50"/>
      <c r="CY28" s="59">
        <v>15</v>
      </c>
      <c r="CZ28" s="34" t="s">
        <v>142</v>
      </c>
      <c r="DB28" s="63">
        <v>29</v>
      </c>
      <c r="DC28" s="37" t="s">
        <v>140</v>
      </c>
      <c r="DE28" s="52"/>
      <c r="DH28" s="59">
        <v>28</v>
      </c>
      <c r="DI28" s="34" t="s">
        <v>143</v>
      </c>
      <c r="DK28" s="70">
        <v>31</v>
      </c>
      <c r="DL28" s="37" t="s">
        <v>143</v>
      </c>
      <c r="DT28" s="477" t="s">
        <v>122</v>
      </c>
      <c r="DU28" s="489"/>
      <c r="DV28" s="9" t="str">
        <f>IF(DV11=0,"-",(DV11-EI28))</f>
        <v>-</v>
      </c>
      <c r="EI28" s="29" t="e">
        <f>DV11*DV26%</f>
        <v>#VALUE!</v>
      </c>
    </row>
    <row r="29" spans="2:144" ht="14.45" customHeight="1" x14ac:dyDescent="0.2">
      <c r="C29" s="240"/>
      <c r="D29" s="221" t="s">
        <v>98</v>
      </c>
      <c r="E29" s="221"/>
      <c r="F29" s="221"/>
      <c r="G29" s="221"/>
      <c r="H29" s="221"/>
      <c r="I29" s="221"/>
      <c r="J29" s="460"/>
      <c r="K29" s="460"/>
      <c r="L29" s="460"/>
      <c r="M29" s="460"/>
      <c r="N29" s="460"/>
      <c r="O29" s="221"/>
      <c r="P29" s="278"/>
      <c r="AU29" s="36">
        <v>0.85</v>
      </c>
      <c r="AV29" s="34" t="s">
        <v>129</v>
      </c>
      <c r="AX29" s="38"/>
      <c r="AY29" s="38"/>
      <c r="BC29" s="50"/>
      <c r="BE29" s="36">
        <v>0.76</v>
      </c>
      <c r="BF29" s="34" t="s">
        <v>127</v>
      </c>
      <c r="BH29" s="41">
        <v>0.9</v>
      </c>
      <c r="BI29" s="37" t="s">
        <v>127</v>
      </c>
      <c r="BK29" s="52"/>
      <c r="BN29" s="50"/>
      <c r="BO29" s="59">
        <v>2</v>
      </c>
      <c r="BP29" s="34" t="s">
        <v>143</v>
      </c>
      <c r="BR29" s="65">
        <v>10</v>
      </c>
      <c r="BS29" s="37" t="s">
        <v>143</v>
      </c>
      <c r="BU29" s="52"/>
      <c r="CJ29" s="88" t="e">
        <f>CB28</f>
        <v>#VALUE!</v>
      </c>
      <c r="CM29" s="50"/>
      <c r="CN29" s="59">
        <v>31</v>
      </c>
      <c r="CO29" s="34" t="s">
        <v>140</v>
      </c>
      <c r="CQ29" s="64">
        <v>48</v>
      </c>
      <c r="CR29" s="38" t="s">
        <v>141</v>
      </c>
      <c r="CT29" s="52"/>
      <c r="CU29" s="52"/>
      <c r="CX29" s="50"/>
      <c r="CY29" s="59">
        <v>21</v>
      </c>
      <c r="CZ29" s="34" t="s">
        <v>140</v>
      </c>
      <c r="DB29" s="64">
        <v>39</v>
      </c>
      <c r="DC29" s="38" t="s">
        <v>141</v>
      </c>
      <c r="DE29" s="52"/>
      <c r="DH29" s="59">
        <v>38</v>
      </c>
      <c r="DI29" s="34" t="s">
        <v>140</v>
      </c>
      <c r="DK29" s="70">
        <v>39</v>
      </c>
      <c r="DL29" s="37" t="s">
        <v>140</v>
      </c>
    </row>
    <row r="30" spans="2:144" ht="14.45" customHeight="1" x14ac:dyDescent="0.2">
      <c r="C30" s="240"/>
      <c r="D30" s="221" t="s">
        <v>251</v>
      </c>
      <c r="E30" s="221"/>
      <c r="F30" s="221"/>
      <c r="G30" s="221"/>
      <c r="H30" s="221"/>
      <c r="I30" s="221"/>
      <c r="J30" s="460"/>
      <c r="K30" s="460"/>
      <c r="L30" s="460"/>
      <c r="M30" s="460"/>
      <c r="N30" s="460"/>
      <c r="O30" s="221"/>
      <c r="P30" s="278"/>
      <c r="AG30" s="141" t="s">
        <v>151</v>
      </c>
      <c r="AH30" s="141"/>
      <c r="AI30" s="141"/>
      <c r="AJ30" s="83">
        <f>'Avaliação Física 4'!G94</f>
        <v>0</v>
      </c>
      <c r="AO30" s="142" t="e">
        <f>IF(AND(BF49&gt;BF47,BF47&gt;BF48),"ECTOMORFO-ENDOMORFO","")</f>
        <v>#DIV/0!</v>
      </c>
      <c r="AP30" s="142"/>
      <c r="AQ30" s="142"/>
      <c r="AR30" s="142"/>
      <c r="AU30" s="35"/>
      <c r="AV30" s="35"/>
      <c r="AX30" s="38"/>
      <c r="AY30" s="38"/>
      <c r="BC30" s="50"/>
      <c r="BE30" s="36">
        <v>0.84</v>
      </c>
      <c r="BF30" s="34" t="s">
        <v>128</v>
      </c>
      <c r="BH30" s="39">
        <v>0.97</v>
      </c>
      <c r="BI30" s="37" t="s">
        <v>128</v>
      </c>
      <c r="BK30" s="52"/>
      <c r="BN30" s="50"/>
      <c r="BO30" s="59">
        <v>7</v>
      </c>
      <c r="BP30" s="34" t="s">
        <v>142</v>
      </c>
      <c r="BR30" s="65">
        <v>13</v>
      </c>
      <c r="BS30" s="37" t="s">
        <v>142</v>
      </c>
      <c r="BU30" s="52"/>
      <c r="CA30" s="126" t="s">
        <v>198</v>
      </c>
      <c r="CB30" s="126"/>
      <c r="CC30" s="126"/>
      <c r="CD30" s="126"/>
      <c r="CF30" s="126" t="s">
        <v>150</v>
      </c>
      <c r="CG30" s="126"/>
      <c r="CJ30" s="89">
        <f>CB31</f>
        <v>-11.2</v>
      </c>
      <c r="CM30" s="50"/>
      <c r="CN30" s="60">
        <v>36</v>
      </c>
      <c r="CO30" s="35" t="s">
        <v>141</v>
      </c>
      <c r="CQ30" s="38"/>
      <c r="CR30" s="38"/>
      <c r="CT30" s="52"/>
      <c r="CU30" s="52"/>
      <c r="CX30" s="50"/>
      <c r="CY30" s="60">
        <v>30</v>
      </c>
      <c r="CZ30" s="35" t="s">
        <v>141</v>
      </c>
      <c r="DB30" s="38"/>
      <c r="DC30" s="38"/>
      <c r="DE30" s="52"/>
      <c r="DH30" s="60">
        <v>45</v>
      </c>
      <c r="DI30" s="35" t="s">
        <v>141</v>
      </c>
      <c r="DK30" s="64">
        <v>49</v>
      </c>
      <c r="DL30" s="38" t="s">
        <v>141</v>
      </c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</row>
    <row r="31" spans="2:144" ht="14.45" customHeight="1" x14ac:dyDescent="0.2">
      <c r="C31" s="240"/>
      <c r="D31" s="221" t="s">
        <v>99</v>
      </c>
      <c r="E31" s="221"/>
      <c r="F31" s="221"/>
      <c r="G31" s="221"/>
      <c r="H31" s="221"/>
      <c r="I31" s="221"/>
      <c r="J31" s="460"/>
      <c r="K31" s="460"/>
      <c r="L31" s="460"/>
      <c r="M31" s="460"/>
      <c r="N31" s="460"/>
      <c r="O31" s="221"/>
      <c r="P31" s="278"/>
      <c r="AH31" s="141" t="s">
        <v>152</v>
      </c>
      <c r="AI31" s="141"/>
      <c r="AJ31" s="31">
        <f>'Avaliação Física 4'!K94</f>
        <v>0</v>
      </c>
      <c r="AO31" s="142" t="e">
        <f>IF(AND(BF47&gt;BF49,BF49&gt;BF48),"ENDOMORFO-ECTOMORFO","")</f>
        <v>#DIV/0!</v>
      </c>
      <c r="AP31" s="142"/>
      <c r="AQ31" s="142"/>
      <c r="AR31" s="142"/>
      <c r="AU31" s="124" t="s">
        <v>130</v>
      </c>
      <c r="AV31" s="124"/>
      <c r="AX31" s="125" t="s">
        <v>65</v>
      </c>
      <c r="AY31" s="125"/>
      <c r="BC31" s="50"/>
      <c r="BE31" s="36">
        <v>0.91</v>
      </c>
      <c r="BF31" s="34" t="s">
        <v>129</v>
      </c>
      <c r="BH31" s="39">
        <v>1.03</v>
      </c>
      <c r="BI31" s="37" t="s">
        <v>129</v>
      </c>
      <c r="BK31" s="52"/>
      <c r="BN31" s="50"/>
      <c r="BO31" s="59">
        <v>11</v>
      </c>
      <c r="BP31" s="34" t="s">
        <v>140</v>
      </c>
      <c r="BR31" s="65">
        <v>17</v>
      </c>
      <c r="BS31" s="37" t="s">
        <v>140</v>
      </c>
      <c r="BU31" s="52"/>
      <c r="CB31" s="157">
        <f>('Avaliação Física 4'!D290-504)/45</f>
        <v>-11.2</v>
      </c>
      <c r="CC31" s="158"/>
      <c r="CD31" s="159"/>
      <c r="CF31" s="153" t="e">
        <f>IF(CB28="","-",DN12)</f>
        <v>#VALUE!</v>
      </c>
      <c r="CG31" s="154"/>
      <c r="CJ31" s="90" t="e">
        <f>CF31</f>
        <v>#VALUE!</v>
      </c>
      <c r="CM31" s="50"/>
      <c r="CN31" s="146" t="s">
        <v>146</v>
      </c>
      <c r="CO31" s="147"/>
      <c r="CQ31" s="125" t="s">
        <v>64</v>
      </c>
      <c r="CR31" s="125"/>
      <c r="CT31" s="52"/>
      <c r="CU31" s="52"/>
      <c r="CX31" s="50"/>
      <c r="CY31" s="146" t="s">
        <v>146</v>
      </c>
      <c r="CZ31" s="147"/>
      <c r="DB31" s="125" t="s">
        <v>64</v>
      </c>
      <c r="DC31" s="125"/>
      <c r="DE31" s="52"/>
      <c r="DH31" s="146" t="s">
        <v>194</v>
      </c>
      <c r="DI31" s="147"/>
      <c r="DK31" s="149" t="s">
        <v>194</v>
      </c>
      <c r="DL31" s="150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I31" s="426" t="s">
        <v>118</v>
      </c>
      <c r="EJ31" s="426"/>
      <c r="EK31" s="8">
        <f>DV11</f>
        <v>0</v>
      </c>
    </row>
    <row r="32" spans="2:144" ht="14.45" customHeight="1" x14ac:dyDescent="0.2">
      <c r="C32" s="240"/>
      <c r="D32" s="221" t="s">
        <v>100</v>
      </c>
      <c r="E32" s="221"/>
      <c r="F32" s="221"/>
      <c r="G32" s="221"/>
      <c r="H32" s="221"/>
      <c r="I32" s="221"/>
      <c r="J32" s="460"/>
      <c r="K32" s="460"/>
      <c r="L32" s="460"/>
      <c r="M32" s="460"/>
      <c r="N32" s="460"/>
      <c r="O32" s="221"/>
      <c r="P32" s="278"/>
      <c r="AH32" s="141" t="s">
        <v>153</v>
      </c>
      <c r="AI32" s="141"/>
      <c r="AJ32" s="84">
        <f>'Avaliação Física 4'!G95</f>
        <v>0</v>
      </c>
      <c r="AN32" s="314" t="s">
        <v>188</v>
      </c>
      <c r="AO32" s="142" t="e">
        <f>IF(AND(BF47=BF48,BF49&gt;BF48),"ECTOMORFO","")</f>
        <v>#DIV/0!</v>
      </c>
      <c r="AP32" s="142"/>
      <c r="AQ32" s="142"/>
      <c r="AR32" s="142"/>
      <c r="AU32" s="36">
        <v>0.01</v>
      </c>
      <c r="AV32" s="34" t="s">
        <v>126</v>
      </c>
      <c r="AX32" s="39">
        <v>0.01</v>
      </c>
      <c r="AY32" s="37" t="s">
        <v>126</v>
      </c>
      <c r="BC32" s="50"/>
      <c r="BH32" s="38"/>
      <c r="BI32" s="38"/>
      <c r="BK32" s="52"/>
      <c r="BN32" s="50"/>
      <c r="BO32" s="60">
        <v>21</v>
      </c>
      <c r="BP32" s="35" t="s">
        <v>141</v>
      </c>
      <c r="BR32" s="64">
        <v>22</v>
      </c>
      <c r="BS32" s="38" t="s">
        <v>141</v>
      </c>
      <c r="BU32" s="52"/>
      <c r="CM32" s="50"/>
      <c r="CN32" s="59">
        <v>0</v>
      </c>
      <c r="CO32" s="34" t="s">
        <v>144</v>
      </c>
      <c r="CQ32" s="65">
        <v>0</v>
      </c>
      <c r="CR32" s="37" t="s">
        <v>144</v>
      </c>
      <c r="CT32" s="52"/>
      <c r="CU32" s="52"/>
      <c r="CX32" s="50"/>
      <c r="CY32" s="59">
        <v>0</v>
      </c>
      <c r="CZ32" s="34" t="s">
        <v>144</v>
      </c>
      <c r="DB32" s="65">
        <v>0</v>
      </c>
      <c r="DC32" s="37" t="s">
        <v>144</v>
      </c>
      <c r="DE32" s="52"/>
      <c r="DH32" s="59">
        <v>0</v>
      </c>
      <c r="DI32" s="34" t="s">
        <v>196</v>
      </c>
      <c r="DK32" s="65">
        <v>0</v>
      </c>
      <c r="DL32" s="37" t="s">
        <v>196</v>
      </c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I32" s="426" t="s">
        <v>122</v>
      </c>
      <c r="EJ32" s="483"/>
      <c r="EK32" s="9" t="str">
        <f>DV28</f>
        <v>-</v>
      </c>
    </row>
    <row r="33" spans="3:141" ht="14.45" customHeight="1" x14ac:dyDescent="0.2">
      <c r="C33" s="240"/>
      <c r="D33" s="221" t="s">
        <v>101</v>
      </c>
      <c r="E33" s="221"/>
      <c r="F33" s="221"/>
      <c r="G33" s="221"/>
      <c r="H33" s="221"/>
      <c r="I33" s="221"/>
      <c r="J33" s="460"/>
      <c r="K33" s="460"/>
      <c r="L33" s="460"/>
      <c r="M33" s="460"/>
      <c r="N33" s="460"/>
      <c r="O33" s="221"/>
      <c r="P33" s="278"/>
      <c r="AO33" s="142" t="e">
        <f>IF(AND(BF48&gt;BF49,BF49&gt;BF47),"MESOMORFO-ECTOMÓRFICO","")</f>
        <v>#DIV/0!</v>
      </c>
      <c r="AP33" s="142"/>
      <c r="AQ33" s="142"/>
      <c r="AR33" s="142"/>
      <c r="AU33" s="36">
        <v>0.73</v>
      </c>
      <c r="AV33" s="34" t="s">
        <v>127</v>
      </c>
      <c r="AX33" s="39">
        <v>0.84</v>
      </c>
      <c r="AY33" s="37" t="s">
        <v>127</v>
      </c>
      <c r="BC33" s="50"/>
      <c r="BH33" s="125" t="s">
        <v>66</v>
      </c>
      <c r="BI33" s="125"/>
      <c r="BK33" s="52"/>
      <c r="BN33" s="50"/>
      <c r="BR33" s="125" t="s">
        <v>131</v>
      </c>
      <c r="BS33" s="125"/>
      <c r="BU33" s="52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M33" s="50"/>
      <c r="CN33" s="59">
        <v>15</v>
      </c>
      <c r="CO33" s="34" t="s">
        <v>143</v>
      </c>
      <c r="CQ33" s="65">
        <v>29</v>
      </c>
      <c r="CR33" s="37" t="s">
        <v>143</v>
      </c>
      <c r="CT33" s="52"/>
      <c r="CU33" s="52"/>
      <c r="CX33" s="50"/>
      <c r="CY33" s="59">
        <v>8</v>
      </c>
      <c r="CZ33" s="34" t="s">
        <v>143</v>
      </c>
      <c r="DB33" s="65">
        <v>17</v>
      </c>
      <c r="DC33" s="37" t="s">
        <v>143</v>
      </c>
      <c r="DE33" s="52"/>
      <c r="DH33" s="59">
        <v>17</v>
      </c>
      <c r="DI33" s="34" t="s">
        <v>144</v>
      </c>
      <c r="DK33" s="65">
        <v>20</v>
      </c>
      <c r="DL33" s="37" t="s">
        <v>144</v>
      </c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I33" s="310"/>
      <c r="EJ33" s="315"/>
      <c r="EK33" s="9"/>
    </row>
    <row r="34" spans="3:141" ht="14.45" customHeight="1" x14ac:dyDescent="0.2">
      <c r="C34" s="240"/>
      <c r="D34" s="221" t="s">
        <v>102</v>
      </c>
      <c r="E34" s="221"/>
      <c r="F34" s="221"/>
      <c r="G34" s="221"/>
      <c r="H34" s="221"/>
      <c r="I34" s="221"/>
      <c r="J34" s="460"/>
      <c r="K34" s="460"/>
      <c r="L34" s="460"/>
      <c r="M34" s="460"/>
      <c r="N34" s="460"/>
      <c r="O34" s="221"/>
      <c r="P34" s="278"/>
      <c r="Y34" s="163" t="s">
        <v>267</v>
      </c>
      <c r="Z34" s="3"/>
      <c r="AA34" s="3"/>
      <c r="AB34" s="164"/>
      <c r="AO34" s="142" t="e">
        <f>IF(AND(BF49&gt;BF48,BF48&gt;BF47),"ECTOMORFO-MESOMORFO","")</f>
        <v>#DIV/0!</v>
      </c>
      <c r="AP34" s="142"/>
      <c r="AQ34" s="142"/>
      <c r="AR34" s="142"/>
      <c r="AU34" s="36">
        <v>0.8</v>
      </c>
      <c r="AV34" s="34" t="s">
        <v>128</v>
      </c>
      <c r="AX34" s="39">
        <v>0.92</v>
      </c>
      <c r="AY34" s="37" t="s">
        <v>128</v>
      </c>
      <c r="BC34" s="50"/>
      <c r="BH34" s="41">
        <v>0.01</v>
      </c>
      <c r="BI34" s="37" t="s">
        <v>126</v>
      </c>
      <c r="BK34" s="52"/>
      <c r="BN34" s="50"/>
      <c r="BO34" s="124" t="s">
        <v>66</v>
      </c>
      <c r="BP34" s="124"/>
      <c r="BR34" s="65">
        <v>1</v>
      </c>
      <c r="BS34" s="37" t="s">
        <v>144</v>
      </c>
      <c r="BU34" s="52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M34" s="50"/>
      <c r="CN34" s="69">
        <v>20</v>
      </c>
      <c r="CO34" s="35" t="s">
        <v>142</v>
      </c>
      <c r="CQ34" s="70">
        <v>33</v>
      </c>
      <c r="CR34" s="38" t="s">
        <v>142</v>
      </c>
      <c r="CT34" s="52"/>
      <c r="CU34" s="52"/>
      <c r="CX34" s="50"/>
      <c r="CY34" s="69">
        <v>13</v>
      </c>
      <c r="CZ34" s="35" t="s">
        <v>142</v>
      </c>
      <c r="DB34" s="70">
        <v>22</v>
      </c>
      <c r="DC34" s="38" t="s">
        <v>142</v>
      </c>
      <c r="DE34" s="52"/>
      <c r="DH34" s="69">
        <v>24</v>
      </c>
      <c r="DI34" s="34" t="s">
        <v>143</v>
      </c>
      <c r="DK34" s="65">
        <v>27</v>
      </c>
      <c r="DL34" s="37" t="s">
        <v>143</v>
      </c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I34" s="310"/>
      <c r="EJ34" s="315"/>
      <c r="EK34" s="9"/>
    </row>
    <row r="35" spans="3:141" ht="14.45" customHeight="1" x14ac:dyDescent="0.2">
      <c r="C35" s="240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78"/>
      <c r="Y35" s="2">
        <f>F78+J79+N77</f>
        <v>0</v>
      </c>
      <c r="Z35" s="106"/>
      <c r="AA35" s="106"/>
      <c r="AB35" s="165"/>
      <c r="AO35" s="142" t="e">
        <f>IF(AND(BF48&gt;BF47,BF48=BF49),"MESOECTOMORFO","")</f>
        <v>#DIV/0!</v>
      </c>
      <c r="AP35" s="142"/>
      <c r="AQ35" s="142"/>
      <c r="AR35" s="142"/>
      <c r="AU35" s="36">
        <v>0.88</v>
      </c>
      <c r="AV35" s="34" t="s">
        <v>129</v>
      </c>
      <c r="AX35" s="39">
        <v>0.96</v>
      </c>
      <c r="AY35" s="37" t="s">
        <v>129</v>
      </c>
      <c r="BC35" s="50"/>
      <c r="BH35" s="41"/>
      <c r="BI35" s="37"/>
      <c r="BK35" s="52"/>
      <c r="BN35" s="50"/>
      <c r="BO35" s="66"/>
      <c r="BP35" s="112"/>
      <c r="BR35" s="65"/>
      <c r="BS35" s="37"/>
      <c r="BU35" s="52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M35" s="50"/>
      <c r="CN35" s="69">
        <v>24</v>
      </c>
      <c r="CO35" s="35" t="s">
        <v>140</v>
      </c>
      <c r="CQ35" s="70">
        <v>37</v>
      </c>
      <c r="CR35" s="38" t="s">
        <v>140</v>
      </c>
      <c r="CT35" s="52"/>
      <c r="CU35" s="52"/>
      <c r="CX35" s="50"/>
      <c r="CY35" s="69">
        <v>20</v>
      </c>
      <c r="CZ35" s="35" t="s">
        <v>140</v>
      </c>
      <c r="DB35" s="70">
        <v>19</v>
      </c>
      <c r="DC35" s="38" t="s">
        <v>140</v>
      </c>
      <c r="DE35" s="52"/>
      <c r="DH35" s="69">
        <v>31</v>
      </c>
      <c r="DI35" s="34" t="s">
        <v>140</v>
      </c>
      <c r="DK35" s="65">
        <v>36</v>
      </c>
      <c r="DL35" s="37" t="s">
        <v>140</v>
      </c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I35" s="310"/>
      <c r="EJ35" s="315"/>
      <c r="EK35" s="9"/>
    </row>
    <row r="36" spans="3:141" ht="14.45" customHeight="1" x14ac:dyDescent="0.2">
      <c r="C36" s="240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78"/>
      <c r="Y36" s="2"/>
      <c r="Z36" s="106"/>
      <c r="AA36" s="106"/>
      <c r="AB36" s="165"/>
      <c r="AO36" s="142" t="e">
        <f>IF(AND(BF48&gt;BF47,BF47&gt;BF49),"MESOMORFO-ENDOMÓRFICO","")</f>
        <v>#DIV/0!</v>
      </c>
      <c r="AP36" s="142"/>
      <c r="AQ36" s="142"/>
      <c r="AR36" s="142"/>
      <c r="AU36" s="35"/>
      <c r="AV36" s="35"/>
      <c r="AX36" s="38"/>
      <c r="AY36" s="38"/>
      <c r="BC36" s="50"/>
      <c r="BH36" s="41"/>
      <c r="BI36" s="37"/>
      <c r="BK36" s="52"/>
      <c r="BN36" s="50"/>
      <c r="BO36" s="66"/>
      <c r="BP36" s="112"/>
      <c r="BR36" s="65"/>
      <c r="BS36" s="37"/>
      <c r="BU36" s="52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M36" s="50"/>
      <c r="CN36" s="60">
        <v>29</v>
      </c>
      <c r="CO36" s="35" t="s">
        <v>141</v>
      </c>
      <c r="CQ36" s="64">
        <v>43</v>
      </c>
      <c r="CR36" s="38" t="s">
        <v>141</v>
      </c>
      <c r="CT36" s="52"/>
      <c r="CU36" s="52"/>
      <c r="CX36" s="50"/>
      <c r="CY36" s="60">
        <v>27</v>
      </c>
      <c r="CZ36" s="35" t="s">
        <v>141</v>
      </c>
      <c r="DB36" s="64">
        <v>36</v>
      </c>
      <c r="DC36" s="38" t="s">
        <v>141</v>
      </c>
      <c r="DE36" s="52"/>
      <c r="DH36" s="60">
        <v>42</v>
      </c>
      <c r="DI36" s="35" t="s">
        <v>141</v>
      </c>
      <c r="DK36" s="64">
        <v>45</v>
      </c>
      <c r="DL36" s="38" t="s">
        <v>141</v>
      </c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I36" s="426" t="s">
        <v>121</v>
      </c>
      <c r="EJ36" s="483"/>
      <c r="EK36" s="9" t="str">
        <f>DV27</f>
        <v>-</v>
      </c>
    </row>
    <row r="37" spans="3:141" ht="15" x14ac:dyDescent="0.2">
      <c r="C37" s="240"/>
      <c r="D37" s="221" t="s">
        <v>245</v>
      </c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78"/>
      <c r="Y37" s="2" t="s">
        <v>268</v>
      </c>
      <c r="Z37" s="106"/>
      <c r="AA37" s="106"/>
      <c r="AB37" s="165"/>
      <c r="AN37" s="314" t="s">
        <v>189</v>
      </c>
      <c r="AO37" s="142" t="e">
        <f>IF(AND(BF48&gt;BF47,BF47=BF49),"MESOMORFO","")</f>
        <v>#DIV/0!</v>
      </c>
      <c r="AP37" s="142"/>
      <c r="AQ37" s="142"/>
      <c r="AR37" s="142"/>
      <c r="AU37" s="124" t="s">
        <v>131</v>
      </c>
      <c r="AV37" s="124"/>
      <c r="AX37" s="125" t="s">
        <v>130</v>
      </c>
      <c r="AY37" s="125"/>
      <c r="BC37" s="50"/>
      <c r="BH37" s="41"/>
      <c r="BI37" s="37"/>
      <c r="BK37" s="52"/>
      <c r="BN37" s="50"/>
      <c r="BO37" s="66"/>
      <c r="BP37" s="112"/>
      <c r="BR37" s="65"/>
      <c r="BS37" s="37"/>
      <c r="BU37" s="52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M37" s="50"/>
      <c r="CN37" s="124" t="s">
        <v>130</v>
      </c>
      <c r="CO37" s="124"/>
      <c r="CQ37" s="125" t="s">
        <v>65</v>
      </c>
      <c r="CR37" s="125"/>
      <c r="CT37" s="52"/>
      <c r="CU37" s="52"/>
      <c r="CX37" s="50"/>
      <c r="CY37" s="124" t="s">
        <v>130</v>
      </c>
      <c r="CZ37" s="124"/>
      <c r="DB37" s="125" t="s">
        <v>65</v>
      </c>
      <c r="DC37" s="125"/>
      <c r="DE37" s="52"/>
      <c r="DH37" s="124" t="s">
        <v>131</v>
      </c>
      <c r="DI37" s="124"/>
      <c r="DK37" s="125" t="s">
        <v>131</v>
      </c>
      <c r="DL37" s="125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I37" s="310"/>
      <c r="EJ37" s="315"/>
      <c r="EK37" s="9"/>
    </row>
    <row r="38" spans="3:141" ht="15" x14ac:dyDescent="0.2">
      <c r="C38" s="240"/>
      <c r="D38" s="377" t="s">
        <v>255</v>
      </c>
      <c r="E38" s="377"/>
      <c r="F38" s="460"/>
      <c r="G38" s="460"/>
      <c r="H38" s="460"/>
      <c r="I38" s="460"/>
      <c r="J38" s="460"/>
      <c r="K38" s="460"/>
      <c r="L38" s="460"/>
      <c r="M38" s="460"/>
      <c r="N38" s="460"/>
      <c r="O38" s="221"/>
      <c r="P38" s="278"/>
      <c r="Y38" s="166">
        <f>N78+J79+F77</f>
        <v>0</v>
      </c>
      <c r="Z38" s="1"/>
      <c r="AA38" s="1"/>
      <c r="AB38" s="168"/>
      <c r="AO38" s="142" t="e">
        <f>IF(AND(BF47=BF48,BF48&gt;BF49),"MESOENDOMORFO","")</f>
        <v>#DIV/0!</v>
      </c>
      <c r="AP38" s="142"/>
      <c r="AQ38" s="142"/>
      <c r="AR38" s="142"/>
      <c r="AU38" s="36">
        <v>0.01</v>
      </c>
      <c r="AV38" s="34" t="s">
        <v>126</v>
      </c>
      <c r="AX38" s="39">
        <v>0.01</v>
      </c>
      <c r="AY38" s="37" t="s">
        <v>126</v>
      </c>
      <c r="BC38" s="50"/>
      <c r="BH38" s="39">
        <v>0.91</v>
      </c>
      <c r="BI38" s="37" t="s">
        <v>127</v>
      </c>
      <c r="BK38" s="52"/>
      <c r="BN38" s="50"/>
      <c r="BO38" s="60">
        <v>1</v>
      </c>
      <c r="BP38" s="34" t="s">
        <v>144</v>
      </c>
      <c r="BR38" s="65">
        <v>7</v>
      </c>
      <c r="BS38" s="37" t="s">
        <v>143</v>
      </c>
      <c r="BU38" s="52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M38" s="50"/>
      <c r="CN38" s="59">
        <v>0</v>
      </c>
      <c r="CO38" s="34" t="s">
        <v>144</v>
      </c>
      <c r="CQ38" s="65">
        <v>0</v>
      </c>
      <c r="CR38" s="37" t="s">
        <v>144</v>
      </c>
      <c r="CT38" s="52"/>
      <c r="CU38" s="52"/>
      <c r="CX38" s="50"/>
      <c r="CY38" s="59">
        <v>0</v>
      </c>
      <c r="CZ38" s="34" t="s">
        <v>144</v>
      </c>
      <c r="DB38" s="65">
        <v>0</v>
      </c>
      <c r="DC38" s="37" t="s">
        <v>144</v>
      </c>
      <c r="DE38" s="52"/>
      <c r="DH38" s="59">
        <v>0</v>
      </c>
      <c r="DI38" s="34" t="s">
        <v>196</v>
      </c>
      <c r="DK38" s="65">
        <v>0</v>
      </c>
      <c r="DL38" s="37" t="s">
        <v>196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I38" s="310"/>
      <c r="EJ38" s="315"/>
      <c r="EK38" s="9"/>
    </row>
    <row r="39" spans="3:141" ht="15" x14ac:dyDescent="0.2">
      <c r="C39" s="240"/>
      <c r="D39" s="377" t="s">
        <v>13</v>
      </c>
      <c r="E39" s="377"/>
      <c r="F39" s="460"/>
      <c r="G39" s="460"/>
      <c r="H39" s="460"/>
      <c r="I39" s="460"/>
      <c r="J39" s="460"/>
      <c r="K39" s="460"/>
      <c r="L39" s="460"/>
      <c r="M39" s="460"/>
      <c r="N39" s="460"/>
      <c r="O39" s="221"/>
      <c r="P39" s="278"/>
      <c r="Y39" s="106"/>
      <c r="Z39" s="106"/>
      <c r="AA39" s="106"/>
      <c r="AB39" s="106"/>
      <c r="AO39" s="143" t="e">
        <f>IF(AND(BF47&gt;BF48,BF48&gt;BF49),"ENDOMORFO-MESOMORFO","")</f>
        <v>#DIV/0!</v>
      </c>
      <c r="AP39" s="143"/>
      <c r="AQ39" s="143"/>
      <c r="AR39" s="143"/>
      <c r="AU39" s="36">
        <v>0.74</v>
      </c>
      <c r="AV39" s="34" t="s">
        <v>127</v>
      </c>
      <c r="AX39" s="39">
        <v>0.88</v>
      </c>
      <c r="AY39" s="37" t="s">
        <v>127</v>
      </c>
      <c r="BC39" s="50"/>
      <c r="BH39" s="39">
        <v>0.99</v>
      </c>
      <c r="BI39" s="37" t="s">
        <v>128</v>
      </c>
      <c r="BK39" s="52"/>
      <c r="BN39" s="50"/>
      <c r="BO39" s="60">
        <v>1</v>
      </c>
      <c r="BP39" s="34" t="s">
        <v>143</v>
      </c>
      <c r="BR39" s="65">
        <v>10</v>
      </c>
      <c r="BS39" s="37" t="s">
        <v>142</v>
      </c>
      <c r="BU39" s="52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M39" s="50"/>
      <c r="CN39" s="59">
        <v>7</v>
      </c>
      <c r="CO39" s="34" t="s">
        <v>143</v>
      </c>
      <c r="CQ39" s="65">
        <v>22</v>
      </c>
      <c r="CR39" s="37" t="s">
        <v>143</v>
      </c>
      <c r="CT39" s="52"/>
      <c r="CU39" s="52"/>
      <c r="CX39" s="50"/>
      <c r="CY39" s="59">
        <v>5</v>
      </c>
      <c r="CZ39" s="34" t="s">
        <v>143</v>
      </c>
      <c r="DB39" s="65">
        <v>12</v>
      </c>
      <c r="DC39" s="37" t="s">
        <v>143</v>
      </c>
      <c r="DE39" s="52"/>
      <c r="DH39" s="59">
        <v>15</v>
      </c>
      <c r="DI39" s="34" t="s">
        <v>144</v>
      </c>
      <c r="DK39" s="65">
        <v>18</v>
      </c>
      <c r="DL39" s="37" t="s">
        <v>144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I39" s="310"/>
      <c r="EJ39" s="315"/>
      <c r="EK39" s="9"/>
    </row>
    <row r="40" spans="3:141" ht="15" x14ac:dyDescent="0.2">
      <c r="C40" s="240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78"/>
      <c r="Y40" s="172" t="s">
        <v>270</v>
      </c>
      <c r="Z40" s="169"/>
      <c r="AA40" s="171"/>
      <c r="AB40" s="106"/>
      <c r="AO40" s="142" t="e">
        <f>IF(AND(BF47=BF49,BF47&gt;BF48),"ENDOECTOMORFO","")</f>
        <v>#DIV/0!</v>
      </c>
      <c r="AP40" s="142"/>
      <c r="AQ40" s="142"/>
      <c r="AR40" s="142"/>
      <c r="AU40" s="36">
        <v>0.82</v>
      </c>
      <c r="AV40" s="34" t="s">
        <v>128</v>
      </c>
      <c r="AX40" s="39">
        <v>0.96</v>
      </c>
      <c r="AY40" s="37" t="s">
        <v>128</v>
      </c>
      <c r="BC40" s="50"/>
      <c r="BH40" s="39">
        <v>1.04</v>
      </c>
      <c r="BI40" s="37" t="s">
        <v>129</v>
      </c>
      <c r="BK40" s="52"/>
      <c r="BN40" s="50"/>
      <c r="BO40" s="60">
        <v>5</v>
      </c>
      <c r="BP40" s="34" t="s">
        <v>142</v>
      </c>
      <c r="BR40" s="65">
        <v>13</v>
      </c>
      <c r="BS40" s="37" t="s">
        <v>140</v>
      </c>
      <c r="BU40" s="52"/>
      <c r="BY40" s="4"/>
      <c r="BZ40" s="148"/>
      <c r="CA40" s="148"/>
      <c r="CB40" s="68"/>
      <c r="CC40" s="68"/>
      <c r="CD40" s="115"/>
      <c r="CE40" s="115"/>
      <c r="CF40" s="115"/>
      <c r="CG40" s="115"/>
      <c r="CH40" s="115"/>
      <c r="CI40" s="115"/>
      <c r="CJ40" s="115"/>
      <c r="CK40" s="4"/>
      <c r="CM40" s="50"/>
      <c r="CN40" s="59">
        <v>15</v>
      </c>
      <c r="CO40" s="34" t="s">
        <v>142</v>
      </c>
      <c r="CQ40" s="65">
        <v>27</v>
      </c>
      <c r="CR40" s="37" t="s">
        <v>142</v>
      </c>
      <c r="CT40" s="52"/>
      <c r="CU40" s="52"/>
      <c r="CX40" s="50"/>
      <c r="CY40" s="59">
        <v>11</v>
      </c>
      <c r="CZ40" s="34" t="s">
        <v>142</v>
      </c>
      <c r="DB40" s="65">
        <v>17</v>
      </c>
      <c r="DC40" s="37" t="s">
        <v>142</v>
      </c>
      <c r="DE40" s="52"/>
      <c r="DH40" s="59">
        <v>21</v>
      </c>
      <c r="DI40" s="34" t="s">
        <v>143</v>
      </c>
      <c r="DK40" s="65">
        <v>25</v>
      </c>
      <c r="DL40" s="37" t="s">
        <v>143</v>
      </c>
      <c r="EI40" s="426" t="s">
        <v>120</v>
      </c>
      <c r="EJ40" s="483"/>
      <c r="EK40" s="28" t="str">
        <f>DV26</f>
        <v>-</v>
      </c>
    </row>
    <row r="41" spans="3:141" ht="15" x14ac:dyDescent="0.2">
      <c r="C41" s="240"/>
      <c r="D41" s="221" t="s">
        <v>246</v>
      </c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78"/>
      <c r="Y41" s="2" t="e">
        <f>IF(EJ4=0,SUM(1.1665-((LOG10(Y38))*0.07063)),SUM(1.17136-((LOG10(Y35))*0.06706)))</f>
        <v>#NUM!</v>
      </c>
      <c r="Z41" s="106"/>
      <c r="AA41" s="165"/>
      <c r="AN41" s="314" t="s">
        <v>190</v>
      </c>
      <c r="AO41" s="142" t="e">
        <f>IF(AND(BF47&gt;BF48,BF48=BF49),"ENDOMORFO","")</f>
        <v>#DIV/0!</v>
      </c>
      <c r="AP41" s="142"/>
      <c r="AQ41" s="142"/>
      <c r="AR41" s="142"/>
      <c r="AU41" s="36">
        <v>0.89</v>
      </c>
      <c r="AV41" s="34" t="s">
        <v>129</v>
      </c>
      <c r="AX41" s="41">
        <v>1.01</v>
      </c>
      <c r="AY41" s="37" t="s">
        <v>129</v>
      </c>
      <c r="BC41" s="50"/>
      <c r="BK41" s="52"/>
      <c r="BN41" s="50"/>
      <c r="BO41" s="60">
        <v>12</v>
      </c>
      <c r="BP41" s="34" t="s">
        <v>140</v>
      </c>
      <c r="BR41" s="64">
        <v>21</v>
      </c>
      <c r="BS41" s="38" t="s">
        <v>141</v>
      </c>
      <c r="BU41" s="52"/>
      <c r="BY41" s="4"/>
      <c r="BZ41" s="148"/>
      <c r="CA41" s="148"/>
      <c r="CB41" s="68"/>
      <c r="CC41" s="4"/>
      <c r="CD41" s="115"/>
      <c r="CE41" s="115"/>
      <c r="CF41" s="115"/>
      <c r="CG41" s="115"/>
      <c r="CH41" s="115"/>
      <c r="CI41" s="115"/>
      <c r="CJ41" s="115"/>
      <c r="CK41" s="4"/>
      <c r="CM41" s="50"/>
      <c r="CN41" s="59">
        <v>20</v>
      </c>
      <c r="CO41" s="34" t="s">
        <v>140</v>
      </c>
      <c r="CQ41" s="65">
        <v>31</v>
      </c>
      <c r="CR41" s="37" t="s">
        <v>140</v>
      </c>
      <c r="CT41" s="52"/>
      <c r="CU41" s="52"/>
      <c r="CX41" s="50"/>
      <c r="CY41" s="59">
        <v>15</v>
      </c>
      <c r="CZ41" s="34" t="s">
        <v>140</v>
      </c>
      <c r="DB41" s="65">
        <v>22</v>
      </c>
      <c r="DC41" s="37" t="s">
        <v>140</v>
      </c>
      <c r="DE41" s="52"/>
      <c r="DH41" s="59">
        <v>28</v>
      </c>
      <c r="DI41" s="34" t="s">
        <v>140</v>
      </c>
      <c r="DK41" s="65">
        <v>34</v>
      </c>
      <c r="DL41" s="37" t="s">
        <v>140</v>
      </c>
    </row>
    <row r="42" spans="3:141" ht="15" x14ac:dyDescent="0.2">
      <c r="C42" s="240"/>
      <c r="D42" s="377" t="s">
        <v>255</v>
      </c>
      <c r="E42" s="377"/>
      <c r="F42" s="460"/>
      <c r="G42" s="460"/>
      <c r="H42" s="460"/>
      <c r="I42" s="460"/>
      <c r="J42" s="460"/>
      <c r="K42" s="460"/>
      <c r="L42" s="460"/>
      <c r="M42" s="460"/>
      <c r="N42" s="460"/>
      <c r="O42" s="221"/>
      <c r="P42" s="278"/>
      <c r="Y42" s="173" t="s">
        <v>269</v>
      </c>
      <c r="Z42" s="170"/>
      <c r="AA42" s="165"/>
      <c r="AO42" s="143" t="e">
        <f>IF(AND(BF47=BF48,BF48=BF49),"CENTRAL","")</f>
        <v>#DIV/0!</v>
      </c>
      <c r="AP42" s="143"/>
      <c r="AQ42" s="143"/>
      <c r="AR42" s="143"/>
      <c r="AU42" s="35"/>
      <c r="AV42" s="35"/>
      <c r="AX42" s="38"/>
      <c r="AY42" s="38"/>
      <c r="BC42" s="55"/>
      <c r="BD42" s="56"/>
      <c r="BE42" s="56"/>
      <c r="BF42" s="56"/>
      <c r="BG42" s="56"/>
      <c r="BH42" s="56"/>
      <c r="BI42" s="56"/>
      <c r="BJ42" s="56"/>
      <c r="BK42" s="57"/>
      <c r="BN42" s="55"/>
      <c r="BO42" s="61">
        <v>17</v>
      </c>
      <c r="BP42" s="35" t="s">
        <v>141</v>
      </c>
      <c r="BQ42" s="56"/>
      <c r="BR42" s="62"/>
      <c r="BS42" s="62"/>
      <c r="BT42" s="56"/>
      <c r="BU42" s="57"/>
      <c r="BY42" s="4"/>
      <c r="BZ42" s="148"/>
      <c r="CA42" s="148"/>
      <c r="CB42" s="68"/>
      <c r="CC42" s="4"/>
      <c r="CD42" s="115"/>
      <c r="CE42" s="115"/>
      <c r="CF42" s="115"/>
      <c r="CG42" s="115"/>
      <c r="CH42" s="115"/>
      <c r="CI42" s="115"/>
      <c r="CJ42" s="115"/>
      <c r="CK42" s="4"/>
      <c r="CM42" s="50"/>
      <c r="CN42" s="60">
        <v>25</v>
      </c>
      <c r="CO42" s="35" t="s">
        <v>141</v>
      </c>
      <c r="CQ42" s="64">
        <v>36</v>
      </c>
      <c r="CR42" s="38" t="s">
        <v>141</v>
      </c>
      <c r="CT42" s="52"/>
      <c r="CU42" s="52"/>
      <c r="CX42" s="50"/>
      <c r="CY42" s="60">
        <v>24</v>
      </c>
      <c r="CZ42" s="35" t="s">
        <v>141</v>
      </c>
      <c r="DB42" s="64">
        <v>30</v>
      </c>
      <c r="DC42" s="38" t="s">
        <v>141</v>
      </c>
      <c r="DE42" s="52"/>
      <c r="DH42" s="60">
        <v>38</v>
      </c>
      <c r="DI42" s="35" t="s">
        <v>141</v>
      </c>
      <c r="DK42" s="64">
        <v>43</v>
      </c>
      <c r="DL42" s="38" t="s">
        <v>141</v>
      </c>
    </row>
    <row r="43" spans="3:141" ht="15" x14ac:dyDescent="0.2">
      <c r="C43" s="240"/>
      <c r="D43" s="377" t="s">
        <v>14</v>
      </c>
      <c r="E43" s="377"/>
      <c r="F43" s="460"/>
      <c r="G43" s="460"/>
      <c r="H43" s="460"/>
      <c r="I43" s="460"/>
      <c r="J43" s="460"/>
      <c r="K43" s="460"/>
      <c r="L43" s="460"/>
      <c r="M43" s="460"/>
      <c r="N43" s="460"/>
      <c r="O43" s="221"/>
      <c r="P43" s="278"/>
      <c r="Y43" s="174" t="e">
        <f>((4.95/Y41)-4.5)*100</f>
        <v>#NUM!</v>
      </c>
      <c r="Z43" s="1"/>
      <c r="AA43" s="168"/>
      <c r="AU43" s="124" t="s">
        <v>66</v>
      </c>
      <c r="AV43" s="124"/>
      <c r="AX43" s="125" t="s">
        <v>131</v>
      </c>
      <c r="AY43" s="125"/>
      <c r="BR43" s="125" t="s">
        <v>66</v>
      </c>
      <c r="BS43" s="125"/>
      <c r="BY43" s="4"/>
      <c r="BZ43" s="115"/>
      <c r="CA43" s="115"/>
      <c r="CB43" s="68"/>
      <c r="CC43" s="4"/>
      <c r="CD43" s="115"/>
      <c r="CE43" s="115"/>
      <c r="CF43" s="115"/>
      <c r="CG43" s="115"/>
      <c r="CH43" s="115"/>
      <c r="CI43" s="115"/>
      <c r="CJ43" s="115"/>
      <c r="CK43" s="4"/>
      <c r="CM43" s="50"/>
      <c r="CN43" s="124" t="s">
        <v>131</v>
      </c>
      <c r="CO43" s="124"/>
      <c r="CQ43" s="125" t="s">
        <v>130</v>
      </c>
      <c r="CR43" s="125"/>
      <c r="CT43" s="52"/>
      <c r="CU43" s="52"/>
      <c r="CX43" s="50"/>
      <c r="CY43" s="124" t="s">
        <v>131</v>
      </c>
      <c r="CZ43" s="124"/>
      <c r="DB43" s="125" t="s">
        <v>130</v>
      </c>
      <c r="DC43" s="125"/>
      <c r="DE43" s="52"/>
      <c r="DH43" s="124" t="s">
        <v>66</v>
      </c>
      <c r="DI43" s="124"/>
      <c r="DK43" s="125" t="s">
        <v>66</v>
      </c>
      <c r="DL43" s="125"/>
      <c r="EI43" s="426"/>
      <c r="EJ43" s="483"/>
      <c r="EK43" s="9"/>
    </row>
    <row r="44" spans="3:141" ht="15" x14ac:dyDescent="0.2">
      <c r="C44" s="240"/>
      <c r="D44" s="377" t="s">
        <v>13</v>
      </c>
      <c r="E44" s="377"/>
      <c r="F44" s="460"/>
      <c r="G44" s="460"/>
      <c r="H44" s="460"/>
      <c r="I44" s="460"/>
      <c r="J44" s="460"/>
      <c r="K44" s="460"/>
      <c r="L44" s="460"/>
      <c r="M44" s="460"/>
      <c r="N44" s="460"/>
      <c r="O44" s="221"/>
      <c r="P44" s="278"/>
      <c r="AU44" s="36">
        <v>0.01</v>
      </c>
      <c r="AV44" s="34" t="s">
        <v>126</v>
      </c>
      <c r="AX44" s="39">
        <v>0.01</v>
      </c>
      <c r="AY44" s="37" t="s">
        <v>126</v>
      </c>
      <c r="BR44" s="64">
        <v>1.01</v>
      </c>
      <c r="BS44" s="37" t="s">
        <v>144</v>
      </c>
      <c r="BY44" s="4"/>
      <c r="BZ44" s="115"/>
      <c r="CA44" s="115"/>
      <c r="CB44" s="68"/>
      <c r="CC44" s="4"/>
      <c r="CD44" s="115"/>
      <c r="CE44" s="115"/>
      <c r="CF44" s="115"/>
      <c r="CG44" s="115"/>
      <c r="CH44" s="115"/>
      <c r="CI44" s="115"/>
      <c r="CJ44" s="115"/>
      <c r="CK44" s="4"/>
      <c r="CM44" s="50"/>
      <c r="CN44" s="59">
        <v>0</v>
      </c>
      <c r="CO44" s="34" t="s">
        <v>144</v>
      </c>
      <c r="CQ44" s="65">
        <v>0</v>
      </c>
      <c r="CR44" s="37" t="s">
        <v>144</v>
      </c>
      <c r="CT44" s="52"/>
      <c r="CU44" s="52"/>
      <c r="CX44" s="50"/>
      <c r="CY44" s="59">
        <v>0</v>
      </c>
      <c r="CZ44" s="34" t="s">
        <v>144</v>
      </c>
      <c r="DB44" s="65">
        <v>0</v>
      </c>
      <c r="DC44" s="37" t="s">
        <v>144</v>
      </c>
      <c r="DE44" s="52"/>
      <c r="DH44" s="59">
        <v>0</v>
      </c>
      <c r="DI44" s="34" t="s">
        <v>196</v>
      </c>
      <c r="DK44" s="65">
        <v>0</v>
      </c>
      <c r="DL44" s="37" t="s">
        <v>196</v>
      </c>
    </row>
    <row r="45" spans="3:141" ht="15" x14ac:dyDescent="0.2">
      <c r="C45" s="241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  <c r="AU45" s="36">
        <v>0.76</v>
      </c>
      <c r="AV45" s="34" t="s">
        <v>127</v>
      </c>
      <c r="AX45" s="41">
        <v>0.9</v>
      </c>
      <c r="AY45" s="37" t="s">
        <v>127</v>
      </c>
      <c r="BE45" t="s">
        <v>158</v>
      </c>
      <c r="BH45" t="e">
        <f>('Avaliação Física 4'!DV15+'Avaliação Física 4'!DV16+'Avaliação Física 4'!DV19)*170.18/BH61</f>
        <v>#DIV/0!</v>
      </c>
      <c r="BR45" s="64">
        <v>5</v>
      </c>
      <c r="BS45" s="37" t="s">
        <v>143</v>
      </c>
      <c r="CM45" s="50"/>
      <c r="CN45" s="59">
        <v>3</v>
      </c>
      <c r="CO45" s="34" t="s">
        <v>143</v>
      </c>
      <c r="CQ45" s="65">
        <v>17</v>
      </c>
      <c r="CR45" s="37" t="s">
        <v>143</v>
      </c>
      <c r="CT45" s="52"/>
      <c r="CU45" s="52"/>
      <c r="CX45" s="50"/>
      <c r="CY45" s="59">
        <v>2</v>
      </c>
      <c r="CZ45" s="34" t="s">
        <v>143</v>
      </c>
      <c r="DB45" s="65">
        <v>10</v>
      </c>
      <c r="DC45" s="37" t="s">
        <v>143</v>
      </c>
      <c r="DE45" s="52"/>
      <c r="DH45" s="59">
        <v>13</v>
      </c>
      <c r="DI45" s="34" t="s">
        <v>144</v>
      </c>
      <c r="DK45" s="65">
        <v>16</v>
      </c>
      <c r="DL45" s="37" t="s">
        <v>144</v>
      </c>
    </row>
    <row r="46" spans="3:141" ht="15" x14ac:dyDescent="0.2"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U46" s="36">
        <v>0.84</v>
      </c>
      <c r="AV46" s="34" t="s">
        <v>128</v>
      </c>
      <c r="AX46" s="39">
        <v>0.97</v>
      </c>
      <c r="AY46" s="37" t="s">
        <v>128</v>
      </c>
      <c r="BD46" s="79"/>
      <c r="BE46" s="79" t="s">
        <v>187</v>
      </c>
      <c r="BF46" s="79"/>
      <c r="BR46" s="64">
        <v>8</v>
      </c>
      <c r="BS46" s="37" t="s">
        <v>142</v>
      </c>
      <c r="CM46" s="50"/>
      <c r="CN46" s="59">
        <v>5</v>
      </c>
      <c r="CO46" s="34" t="s">
        <v>142</v>
      </c>
      <c r="CQ46" s="65">
        <v>22</v>
      </c>
      <c r="CR46" s="37" t="s">
        <v>142</v>
      </c>
      <c r="CT46" s="52"/>
      <c r="CU46" s="52"/>
      <c r="CX46" s="50"/>
      <c r="CY46" s="59">
        <v>7</v>
      </c>
      <c r="CZ46" s="34" t="s">
        <v>142</v>
      </c>
      <c r="DB46" s="65">
        <v>13</v>
      </c>
      <c r="DC46" s="37" t="s">
        <v>142</v>
      </c>
      <c r="DE46" s="52"/>
      <c r="DH46" s="59">
        <v>18</v>
      </c>
      <c r="DI46" s="34" t="s">
        <v>143</v>
      </c>
      <c r="DK46" s="65">
        <v>23</v>
      </c>
      <c r="DL46" s="37" t="s">
        <v>143</v>
      </c>
    </row>
    <row r="47" spans="3:141" ht="15" x14ac:dyDescent="0.2">
      <c r="C47" s="362" t="s">
        <v>228</v>
      </c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T47">
        <f>J72*100</f>
        <v>0</v>
      </c>
      <c r="Y47" s="273" t="s">
        <v>386</v>
      </c>
      <c r="Z47" s="27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U47" s="36">
        <v>0.91</v>
      </c>
      <c r="AV47" s="34" t="s">
        <v>129</v>
      </c>
      <c r="AX47" s="39">
        <v>1.03</v>
      </c>
      <c r="AY47" s="37" t="s">
        <v>129</v>
      </c>
      <c r="BD47" s="121" t="s">
        <v>157</v>
      </c>
      <c r="BE47" s="121"/>
      <c r="BF47" s="80" t="e">
        <f>-0.7182+0.1451*(BH45)-0.00068*(BH45)+0.0000014*(BH45)</f>
        <v>#DIV/0!</v>
      </c>
      <c r="BR47" s="64">
        <v>11</v>
      </c>
      <c r="BS47" s="37" t="s">
        <v>140</v>
      </c>
      <c r="CM47" s="50"/>
      <c r="CN47" s="59">
        <v>12</v>
      </c>
      <c r="CO47" s="34" t="s">
        <v>140</v>
      </c>
      <c r="CQ47" s="65">
        <v>26</v>
      </c>
      <c r="CR47" s="37" t="s">
        <v>140</v>
      </c>
      <c r="CT47" s="52"/>
      <c r="CU47" s="52"/>
      <c r="CX47" s="50"/>
      <c r="CY47" s="59">
        <v>11</v>
      </c>
      <c r="CZ47" s="34" t="s">
        <v>140</v>
      </c>
      <c r="DB47" s="65">
        <v>17</v>
      </c>
      <c r="DC47" s="37" t="s">
        <v>140</v>
      </c>
      <c r="DE47" s="52"/>
      <c r="DH47" s="59">
        <v>24</v>
      </c>
      <c r="DI47" s="34" t="s">
        <v>140</v>
      </c>
      <c r="DK47" s="65">
        <v>31</v>
      </c>
      <c r="DL47" s="37" t="s">
        <v>140</v>
      </c>
    </row>
    <row r="48" spans="3:141" ht="15" x14ac:dyDescent="0.2">
      <c r="C48" s="284"/>
      <c r="D48" s="285"/>
      <c r="E48" s="285"/>
      <c r="F48" s="286"/>
      <c r="G48" s="276"/>
      <c r="H48" s="276"/>
      <c r="I48" s="276"/>
      <c r="J48" s="276"/>
      <c r="K48" s="276"/>
      <c r="L48" s="287"/>
      <c r="M48" s="288"/>
      <c r="N48" s="288"/>
      <c r="O48" s="289"/>
      <c r="P48" s="290"/>
      <c r="Y48" s="267" t="e">
        <f>IF(L9="Feminino",1.0346585-0.00063129*(J78+N78+J79+N79)+0.00000187*(J78+N78+J79+N79)^2-0.000311*(N9)-0.0004889*(F72)+0.00051345*(T47),1.10726863-0.00081201*(F77+F78+J79+N79)+0.00000212*(F77+F78+J79+N79)^2*0.00041761*(N9))</f>
        <v>#VALUE!</v>
      </c>
      <c r="Z48" s="268"/>
      <c r="AB48" s="5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X48" s="38"/>
      <c r="AY48" s="38"/>
      <c r="BD48" s="121" t="s">
        <v>156</v>
      </c>
      <c r="BE48" s="121"/>
      <c r="BF48" s="81">
        <f>0.858*(AJ30)+0.601*(AJ32)+0.188*(BK48)+0.161*(BK49)-0.131*(BH61)+4.5</f>
        <v>4.5</v>
      </c>
      <c r="BJ48" s="310" t="s">
        <v>159</v>
      </c>
      <c r="BK48">
        <f>BK50-(BK52/10)</f>
        <v>0</v>
      </c>
      <c r="BR48" s="64">
        <v>18</v>
      </c>
      <c r="BS48" s="38" t="s">
        <v>141</v>
      </c>
      <c r="CM48" s="50"/>
      <c r="CN48" s="60">
        <v>19</v>
      </c>
      <c r="CO48" s="35" t="s">
        <v>141</v>
      </c>
      <c r="CQ48" s="64">
        <v>36</v>
      </c>
      <c r="CR48" s="38" t="s">
        <v>141</v>
      </c>
      <c r="CT48" s="52"/>
      <c r="CU48" s="52"/>
      <c r="CX48" s="50"/>
      <c r="CY48" s="60">
        <v>21</v>
      </c>
      <c r="CZ48" s="35" t="s">
        <v>141</v>
      </c>
      <c r="DB48" s="64">
        <v>22</v>
      </c>
      <c r="DC48" s="38" t="s">
        <v>141</v>
      </c>
      <c r="DE48" s="52"/>
      <c r="DH48" s="60">
        <v>35</v>
      </c>
      <c r="DI48" s="35" t="s">
        <v>141</v>
      </c>
      <c r="DK48" s="64">
        <v>41</v>
      </c>
      <c r="DL48" s="38" t="s">
        <v>141</v>
      </c>
    </row>
    <row r="49" spans="3:116" ht="15" customHeight="1" x14ac:dyDescent="0.2">
      <c r="C49" s="291"/>
      <c r="D49" s="436" t="s">
        <v>191</v>
      </c>
      <c r="E49" s="436"/>
      <c r="F49" s="436"/>
      <c r="G49" s="436"/>
      <c r="H49" s="436"/>
      <c r="I49" s="436"/>
      <c r="J49" s="436"/>
      <c r="K49" s="436"/>
      <c r="L49" s="312"/>
      <c r="M49" s="259"/>
      <c r="N49" s="259"/>
      <c r="O49" s="256"/>
      <c r="P49" s="292"/>
      <c r="Y49" s="267"/>
      <c r="Z49" s="268"/>
      <c r="AB49" s="5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X49" s="125" t="s">
        <v>66</v>
      </c>
      <c r="AY49" s="125"/>
      <c r="BD49" s="121" t="s">
        <v>155</v>
      </c>
      <c r="BE49" s="121"/>
      <c r="BF49" s="81" t="e">
        <f>IF(BK56&gt;40.75,BK66,BK67)</f>
        <v>#DIV/0!</v>
      </c>
      <c r="BJ49" s="310" t="s">
        <v>160</v>
      </c>
      <c r="BK49">
        <f>BK51-(BK53/10)</f>
        <v>0</v>
      </c>
      <c r="CM49" s="50"/>
      <c r="CQ49" s="125" t="s">
        <v>131</v>
      </c>
      <c r="CR49" s="125"/>
      <c r="CT49" s="52"/>
      <c r="CU49" s="52"/>
      <c r="CX49" s="50"/>
      <c r="DB49" s="125" t="s">
        <v>131</v>
      </c>
      <c r="DC49" s="125"/>
      <c r="DE49" s="52"/>
    </row>
    <row r="50" spans="3:116" ht="15" customHeight="1" x14ac:dyDescent="0.2">
      <c r="C50" s="291"/>
      <c r="D50" s="436"/>
      <c r="E50" s="436"/>
      <c r="F50" s="436"/>
      <c r="G50" s="436"/>
      <c r="H50" s="436"/>
      <c r="I50" s="436"/>
      <c r="J50" s="436"/>
      <c r="K50" s="436"/>
      <c r="L50" s="312"/>
      <c r="M50" s="259"/>
      <c r="N50" s="259"/>
      <c r="O50" s="256"/>
      <c r="P50" s="292"/>
      <c r="Y50" s="272" t="s">
        <v>371</v>
      </c>
      <c r="Z50" s="275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X50" s="41">
        <v>0.01</v>
      </c>
      <c r="AY50" s="37" t="s">
        <v>126</v>
      </c>
      <c r="BD50" s="79"/>
      <c r="BE50" s="79"/>
      <c r="BF50" s="79"/>
      <c r="BJ50" s="310" t="s">
        <v>161</v>
      </c>
      <c r="BK50">
        <f>'Avaliação Física 4'!AJ16</f>
        <v>0</v>
      </c>
      <c r="CM50" s="50"/>
      <c r="CN50" s="124" t="s">
        <v>66</v>
      </c>
      <c r="CO50" s="124"/>
      <c r="CQ50" s="65">
        <v>0</v>
      </c>
      <c r="CR50" s="37" t="s">
        <v>144</v>
      </c>
      <c r="CT50" s="52"/>
      <c r="CU50" s="52"/>
      <c r="CX50" s="50"/>
      <c r="CY50" s="124" t="s">
        <v>66</v>
      </c>
      <c r="CZ50" s="124"/>
      <c r="DB50" s="65">
        <v>0</v>
      </c>
      <c r="DC50" s="37" t="s">
        <v>144</v>
      </c>
      <c r="DE50" s="52"/>
      <c r="DH50" s="126"/>
      <c r="DI50" s="126"/>
      <c r="DK50" s="126"/>
      <c r="DL50" s="126"/>
    </row>
    <row r="51" spans="3:116" ht="4.9000000000000004" customHeight="1" x14ac:dyDescent="0.2">
      <c r="C51" s="291"/>
      <c r="D51" s="293"/>
      <c r="E51" s="293"/>
      <c r="F51" s="294"/>
      <c r="G51" s="221"/>
      <c r="H51" s="221"/>
      <c r="I51" s="221"/>
      <c r="J51" s="221"/>
      <c r="K51" s="221"/>
      <c r="L51" s="312"/>
      <c r="M51" s="259"/>
      <c r="N51" s="259"/>
      <c r="O51" s="256"/>
      <c r="P51" s="292"/>
      <c r="Y51" s="267"/>
      <c r="Z51" s="268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X51" s="39">
        <v>0.91</v>
      </c>
      <c r="AY51" s="37" t="s">
        <v>127</v>
      </c>
      <c r="BJ51" s="310" t="s">
        <v>162</v>
      </c>
      <c r="BK51">
        <f>AJ18</f>
        <v>0</v>
      </c>
      <c r="CM51" s="50"/>
      <c r="CN51" s="60">
        <v>0</v>
      </c>
      <c r="CO51" s="34" t="s">
        <v>144</v>
      </c>
      <c r="CQ51" s="65">
        <v>13</v>
      </c>
      <c r="CR51" s="37" t="s">
        <v>143</v>
      </c>
      <c r="CT51" s="52"/>
      <c r="CU51" s="52"/>
      <c r="CX51" s="50"/>
      <c r="CY51" s="60">
        <v>0</v>
      </c>
      <c r="CZ51" s="34" t="s">
        <v>144</v>
      </c>
      <c r="DB51" s="65">
        <v>7</v>
      </c>
      <c r="DC51" s="37" t="s">
        <v>143</v>
      </c>
      <c r="DE51" s="52"/>
      <c r="DH51" s="86"/>
      <c r="DK51" s="86"/>
    </row>
    <row r="52" spans="3:116" ht="15" x14ac:dyDescent="0.2">
      <c r="C52" s="291"/>
      <c r="D52" s="437" t="s">
        <v>360</v>
      </c>
      <c r="E52" s="437"/>
      <c r="F52" s="437"/>
      <c r="G52" s="437"/>
      <c r="H52" s="437"/>
      <c r="I52" s="437"/>
      <c r="J52" s="437"/>
      <c r="K52" s="221"/>
      <c r="L52" s="312"/>
      <c r="M52" s="259"/>
      <c r="N52" s="259"/>
      <c r="O52" s="256"/>
      <c r="P52" s="292"/>
      <c r="Y52" s="269" t="e">
        <f>((4.95/Y48)-4.5)*100</f>
        <v>#VALUE!</v>
      </c>
      <c r="Z52" s="268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X52" s="39">
        <v>0.99</v>
      </c>
      <c r="AY52" s="37" t="s">
        <v>128</v>
      </c>
      <c r="BJ52" s="310" t="s">
        <v>163</v>
      </c>
      <c r="BK52">
        <f>'Avaliação Física 4'!DV16</f>
        <v>0</v>
      </c>
      <c r="CM52" s="50"/>
      <c r="CN52" s="60">
        <v>2</v>
      </c>
      <c r="CO52" s="34" t="s">
        <v>143</v>
      </c>
      <c r="CQ52" s="65">
        <v>18</v>
      </c>
      <c r="CR52" s="37" t="s">
        <v>142</v>
      </c>
      <c r="CT52" s="52"/>
      <c r="CU52" s="52"/>
      <c r="CX52" s="50"/>
      <c r="CY52" s="60">
        <v>1</v>
      </c>
      <c r="CZ52" s="34" t="s">
        <v>143</v>
      </c>
      <c r="DB52" s="65">
        <v>10</v>
      </c>
      <c r="DC52" s="37" t="s">
        <v>142</v>
      </c>
      <c r="DE52" s="52"/>
      <c r="DH52" s="86"/>
      <c r="DK52" s="86"/>
    </row>
    <row r="53" spans="3:116" ht="4.1500000000000004" customHeight="1" x14ac:dyDescent="0.2">
      <c r="C53" s="291"/>
      <c r="D53" s="293"/>
      <c r="E53" s="293"/>
      <c r="F53" s="293"/>
      <c r="G53" s="293"/>
      <c r="H53" s="293"/>
      <c r="I53" s="293"/>
      <c r="J53" s="293"/>
      <c r="K53" s="221"/>
      <c r="L53" s="312"/>
      <c r="M53" s="259"/>
      <c r="N53" s="259"/>
      <c r="O53" s="256"/>
      <c r="P53" s="292"/>
      <c r="Y53" s="270"/>
      <c r="Z53" s="271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X53" s="39">
        <v>1.04</v>
      </c>
      <c r="AY53" s="37" t="s">
        <v>129</v>
      </c>
      <c r="BJ53" s="310" t="s">
        <v>164</v>
      </c>
      <c r="BK53">
        <f>'Avaliação Física 4'!DV21</f>
        <v>0</v>
      </c>
      <c r="CM53" s="50"/>
      <c r="CN53" s="60">
        <v>4</v>
      </c>
      <c r="CO53" s="34" t="s">
        <v>142</v>
      </c>
      <c r="CQ53" s="65">
        <v>22</v>
      </c>
      <c r="CR53" s="37" t="s">
        <v>140</v>
      </c>
      <c r="CT53" s="52"/>
      <c r="CU53" s="52"/>
      <c r="CX53" s="50"/>
      <c r="CY53" s="60">
        <v>5</v>
      </c>
      <c r="CZ53" s="34" t="s">
        <v>142</v>
      </c>
      <c r="DB53" s="65">
        <v>13</v>
      </c>
      <c r="DC53" s="37" t="s">
        <v>140</v>
      </c>
      <c r="DE53" s="52"/>
      <c r="DH53" s="86"/>
      <c r="DK53" s="86"/>
    </row>
    <row r="54" spans="3:116" ht="14.25" customHeight="1" x14ac:dyDescent="0.2">
      <c r="C54" s="291"/>
      <c r="D54" s="437" t="s">
        <v>9</v>
      </c>
      <c r="E54" s="437"/>
      <c r="F54" s="437"/>
      <c r="G54" s="437"/>
      <c r="H54" s="437"/>
      <c r="I54" s="437"/>
      <c r="J54" s="437"/>
      <c r="K54" s="221"/>
      <c r="L54" s="312"/>
      <c r="M54" s="259"/>
      <c r="N54" s="259"/>
      <c r="O54" s="256"/>
      <c r="P54" s="292"/>
      <c r="T54" s="21" t="e">
        <f>(X68+X78+S78)/3</f>
        <v>#VALUE!</v>
      </c>
      <c r="X54" s="102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BB54" s="121" t="s">
        <v>185</v>
      </c>
      <c r="BC54" s="121"/>
      <c r="BD54" s="121"/>
      <c r="CM54" s="50"/>
      <c r="CN54" s="60">
        <v>12</v>
      </c>
      <c r="CO54" s="34" t="s">
        <v>140</v>
      </c>
      <c r="CQ54" s="64">
        <v>31</v>
      </c>
      <c r="CR54" s="38" t="s">
        <v>141</v>
      </c>
      <c r="CT54" s="52"/>
      <c r="CU54" s="52"/>
      <c r="CX54" s="50"/>
      <c r="CY54" s="60">
        <v>12</v>
      </c>
      <c r="CZ54" s="34" t="s">
        <v>140</v>
      </c>
      <c r="DB54" s="64">
        <v>21</v>
      </c>
      <c r="DC54" s="38" t="s">
        <v>141</v>
      </c>
      <c r="DE54" s="52"/>
      <c r="DH54" s="86"/>
      <c r="DK54" s="86"/>
    </row>
    <row r="55" spans="3:116" ht="4.9000000000000004" customHeight="1" x14ac:dyDescent="0.2">
      <c r="C55" s="291"/>
      <c r="D55" s="293"/>
      <c r="E55" s="293"/>
      <c r="F55" s="294"/>
      <c r="G55" s="221"/>
      <c r="H55" s="221"/>
      <c r="I55" s="221"/>
      <c r="J55" s="221"/>
      <c r="K55" s="221"/>
      <c r="L55" s="312"/>
      <c r="M55" s="259"/>
      <c r="N55" s="259"/>
      <c r="O55" s="256"/>
      <c r="P55" s="29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BB55" s="79"/>
      <c r="BC55" s="79"/>
      <c r="BD55" s="79"/>
      <c r="BO55" s="126" t="s">
        <v>155</v>
      </c>
      <c r="BP55" s="126"/>
      <c r="BQ55" t="e">
        <f>IF(BK56&gt;0.01,HLOOKUP(BK56,BN66:BO68,3,TRUE))</f>
        <v>#DIV/0!</v>
      </c>
      <c r="CM55" s="55"/>
      <c r="CN55" s="61">
        <v>16</v>
      </c>
      <c r="CO55" s="35" t="s">
        <v>141</v>
      </c>
      <c r="CP55" s="56"/>
      <c r="CQ55" s="62"/>
      <c r="CR55" s="62"/>
      <c r="CS55" s="56"/>
      <c r="CT55" s="57"/>
      <c r="CU55" s="57"/>
      <c r="CX55" s="55"/>
      <c r="CY55" s="61">
        <v>17</v>
      </c>
      <c r="CZ55" s="35" t="s">
        <v>141</v>
      </c>
      <c r="DA55" s="56"/>
      <c r="DB55" s="62"/>
      <c r="DC55" s="62"/>
      <c r="DD55" s="56"/>
      <c r="DE55" s="57"/>
      <c r="DH55" s="86"/>
      <c r="DK55" s="86"/>
    </row>
    <row r="56" spans="3:116" ht="15" customHeight="1" x14ac:dyDescent="0.2">
      <c r="C56" s="291"/>
      <c r="D56" s="437" t="s">
        <v>10</v>
      </c>
      <c r="E56" s="437"/>
      <c r="F56" s="437"/>
      <c r="G56" s="437"/>
      <c r="H56" s="437"/>
      <c r="I56" s="437"/>
      <c r="J56" s="437"/>
      <c r="K56" s="221"/>
      <c r="L56" s="312"/>
      <c r="M56" s="259"/>
      <c r="N56" s="259"/>
      <c r="O56" s="256"/>
      <c r="P56" s="292"/>
      <c r="BB56" s="121" t="s">
        <v>186</v>
      </c>
      <c r="BC56" s="121"/>
      <c r="BD56" s="121"/>
      <c r="BI56" s="126" t="s">
        <v>165</v>
      </c>
      <c r="BJ56" s="126"/>
      <c r="BK56" t="e">
        <f>BH61/BK58</f>
        <v>#DIV/0!</v>
      </c>
      <c r="CQ56" s="125" t="s">
        <v>66</v>
      </c>
      <c r="CR56" s="125"/>
      <c r="DB56" s="125" t="s">
        <v>66</v>
      </c>
      <c r="DC56" s="125"/>
    </row>
    <row r="57" spans="3:116" ht="4.9000000000000004" customHeight="1" x14ac:dyDescent="0.2">
      <c r="C57" s="291"/>
      <c r="D57" s="293"/>
      <c r="E57" s="293"/>
      <c r="F57" s="294"/>
      <c r="G57" s="221"/>
      <c r="H57" s="221"/>
      <c r="I57" s="221"/>
      <c r="J57" s="221"/>
      <c r="K57" s="221"/>
      <c r="L57" s="312"/>
      <c r="M57" s="259"/>
      <c r="N57" s="259"/>
      <c r="O57" s="256"/>
      <c r="P57" s="292"/>
      <c r="BB57" s="79"/>
      <c r="BC57" s="79"/>
      <c r="BD57" s="79"/>
      <c r="CQ57" s="64">
        <v>0</v>
      </c>
      <c r="CR57" s="37" t="s">
        <v>144</v>
      </c>
      <c r="DB57" s="64">
        <v>0</v>
      </c>
      <c r="DC57" s="37" t="s">
        <v>144</v>
      </c>
    </row>
    <row r="58" spans="3:116" ht="15" x14ac:dyDescent="0.2">
      <c r="C58" s="291"/>
      <c r="D58" s="436" t="s">
        <v>192</v>
      </c>
      <c r="E58" s="436"/>
      <c r="F58" s="436"/>
      <c r="G58" s="436"/>
      <c r="H58" s="436"/>
      <c r="I58" s="436"/>
      <c r="J58" s="436"/>
      <c r="K58" s="221"/>
      <c r="L58" s="312"/>
      <c r="M58" s="259"/>
      <c r="N58" s="259"/>
      <c r="O58" s="256"/>
      <c r="P58" s="292"/>
      <c r="V58" s="177" t="e">
        <f ca="1">(IF(E75="Faulkner",AB88,"-"),IF(E75="Jackson e Pollock 7 dobras",AB89,"-"),IF(E75="Jackson e Pollock 3 dobras",AB90,"-"),IF(E75="Guedes 3 dobras",AB91,"-"))</f>
        <v>#VALUE!</v>
      </c>
      <c r="BB58" s="79"/>
      <c r="BC58" s="79"/>
      <c r="BD58" s="79"/>
      <c r="BI58" t="s">
        <v>166</v>
      </c>
      <c r="BK58">
        <f>AP9^(1/3)</f>
        <v>0</v>
      </c>
      <c r="CQ58" s="64">
        <v>7</v>
      </c>
      <c r="CR58" s="37" t="s">
        <v>143</v>
      </c>
      <c r="DB58" s="64">
        <v>5</v>
      </c>
      <c r="DC58" s="37" t="s">
        <v>143</v>
      </c>
    </row>
    <row r="59" spans="3:116" ht="15" customHeight="1" x14ac:dyDescent="0.2">
      <c r="C59" s="291"/>
      <c r="D59" s="436"/>
      <c r="E59" s="436"/>
      <c r="F59" s="436"/>
      <c r="G59" s="436"/>
      <c r="H59" s="436"/>
      <c r="I59" s="436"/>
      <c r="J59" s="436"/>
      <c r="K59" s="221"/>
      <c r="L59" s="312"/>
      <c r="M59" s="259"/>
      <c r="N59" s="259"/>
      <c r="O59" s="256"/>
      <c r="P59" s="292"/>
      <c r="Y59" s="163" t="s">
        <v>262</v>
      </c>
      <c r="Z59" s="3"/>
      <c r="AA59" s="3"/>
      <c r="AB59" s="164"/>
      <c r="CQ59" s="64">
        <v>12</v>
      </c>
      <c r="CR59" s="37" t="s">
        <v>142</v>
      </c>
      <c r="DB59" s="64">
        <v>8</v>
      </c>
      <c r="DC59" s="37" t="s">
        <v>142</v>
      </c>
    </row>
    <row r="60" spans="3:116" ht="4.9000000000000004" customHeight="1" x14ac:dyDescent="0.2">
      <c r="C60" s="291"/>
      <c r="D60" s="293"/>
      <c r="E60" s="293"/>
      <c r="F60" s="294"/>
      <c r="G60" s="221"/>
      <c r="H60" s="221"/>
      <c r="I60" s="221"/>
      <c r="J60" s="221"/>
      <c r="K60" s="221"/>
      <c r="L60" s="312"/>
      <c r="M60" s="259"/>
      <c r="N60" s="259"/>
      <c r="O60" s="256"/>
      <c r="P60" s="292"/>
      <c r="Y60" s="2"/>
      <c r="Z60" s="106"/>
      <c r="AA60" s="106"/>
      <c r="AB60" s="165"/>
      <c r="CQ60" s="64">
        <v>11</v>
      </c>
      <c r="CR60" s="37" t="s">
        <v>140</v>
      </c>
      <c r="DB60" s="64">
        <v>11</v>
      </c>
      <c r="DC60" s="37" t="s">
        <v>140</v>
      </c>
    </row>
    <row r="61" spans="3:116" ht="15" customHeight="1" x14ac:dyDescent="0.2">
      <c r="C61" s="291"/>
      <c r="D61" s="436" t="s">
        <v>193</v>
      </c>
      <c r="E61" s="436"/>
      <c r="F61" s="436"/>
      <c r="G61" s="436"/>
      <c r="H61" s="436"/>
      <c r="I61" s="436"/>
      <c r="J61" s="436"/>
      <c r="K61" s="221"/>
      <c r="L61" s="312"/>
      <c r="M61" s="259"/>
      <c r="N61" s="259"/>
      <c r="O61" s="256"/>
      <c r="P61" s="292"/>
      <c r="Y61" s="2">
        <f>J77+N77+N78</f>
        <v>0</v>
      </c>
      <c r="Z61" s="106"/>
      <c r="AA61" s="106"/>
      <c r="AB61" s="165"/>
      <c r="BG61" s="75" t="s">
        <v>167</v>
      </c>
      <c r="BH61" s="73">
        <f>AP10*100</f>
        <v>0</v>
      </c>
      <c r="BK61" t="e">
        <f ca="1">IF(BK56&gt;40.75,(BK56*0.732)-28.58),IF(BK56&lt;=40.74,(BK56*0.463)-17.63),IF(BK56&lt;=38.25,0.1)</f>
        <v>#DIV/0!</v>
      </c>
      <c r="CQ61" s="64">
        <v>26</v>
      </c>
      <c r="CR61" s="38" t="s">
        <v>141</v>
      </c>
      <c r="DB61" s="64">
        <v>18</v>
      </c>
      <c r="DC61" s="38" t="s">
        <v>141</v>
      </c>
    </row>
    <row r="62" spans="3:116" ht="15" x14ac:dyDescent="0.2">
      <c r="C62" s="291"/>
      <c r="D62" s="436"/>
      <c r="E62" s="436"/>
      <c r="F62" s="436"/>
      <c r="G62" s="436"/>
      <c r="H62" s="436"/>
      <c r="I62" s="436"/>
      <c r="J62" s="436"/>
      <c r="K62" s="221"/>
      <c r="L62" s="312"/>
      <c r="M62" s="259"/>
      <c r="N62" s="259"/>
      <c r="O62" s="256"/>
      <c r="P62" s="292"/>
      <c r="V62" s="21" t="e">
        <f ca="1">IF(E75="Faulkner",S78,"-"),IF(E75="Jackson e Pollock 7 dobras",EL26,"-"),IF(E75="Jackson e Pollock 3 dobras",X78,"-")</f>
        <v>#VALUE!</v>
      </c>
      <c r="Y62" s="2"/>
      <c r="Z62" s="106"/>
      <c r="AA62" s="106"/>
      <c r="AB62" s="165"/>
      <c r="BC62" s="126"/>
      <c r="BD62" s="126"/>
      <c r="BE62" s="126"/>
    </row>
    <row r="63" spans="3:116" ht="4.9000000000000004" customHeight="1" x14ac:dyDescent="0.2">
      <c r="C63" s="291"/>
      <c r="D63" s="293"/>
      <c r="E63" s="293"/>
      <c r="F63" s="294"/>
      <c r="G63" s="221"/>
      <c r="H63" s="221"/>
      <c r="I63" s="221"/>
      <c r="J63" s="221"/>
      <c r="K63" s="221"/>
      <c r="L63" s="312"/>
      <c r="M63" s="259"/>
      <c r="N63" s="259"/>
      <c r="O63" s="256"/>
      <c r="P63" s="292"/>
      <c r="Y63" s="2"/>
      <c r="Z63" s="106"/>
      <c r="AA63" s="106"/>
      <c r="AB63" s="165"/>
      <c r="BC63" s="126"/>
      <c r="BD63" s="126"/>
      <c r="BE63" s="126"/>
    </row>
    <row r="64" spans="3:116" ht="15" x14ac:dyDescent="0.2">
      <c r="C64" s="291"/>
      <c r="D64" s="437" t="s">
        <v>11</v>
      </c>
      <c r="E64" s="437"/>
      <c r="F64" s="437"/>
      <c r="G64" s="437"/>
      <c r="H64" s="437"/>
      <c r="I64" s="437"/>
      <c r="J64" s="437"/>
      <c r="K64" s="221"/>
      <c r="L64" s="312"/>
      <c r="M64" s="259"/>
      <c r="N64" s="259"/>
      <c r="O64" s="256"/>
      <c r="P64" s="292"/>
      <c r="Y64" s="2" t="s">
        <v>261</v>
      </c>
      <c r="Z64" s="106"/>
      <c r="AA64" s="106"/>
      <c r="AB64" s="165"/>
      <c r="BB64">
        <v>3</v>
      </c>
      <c r="BC64" s="126" t="s">
        <v>174</v>
      </c>
      <c r="BD64" s="126"/>
      <c r="BE64" s="126"/>
    </row>
    <row r="65" spans="3:69" ht="15" x14ac:dyDescent="0.2">
      <c r="C65" s="295"/>
      <c r="D65" s="296"/>
      <c r="E65" s="296"/>
      <c r="F65" s="297"/>
      <c r="G65" s="279"/>
      <c r="H65" s="279"/>
      <c r="I65" s="279"/>
      <c r="J65" s="279"/>
      <c r="K65" s="279"/>
      <c r="L65" s="298"/>
      <c r="M65" s="299"/>
      <c r="N65" s="299"/>
      <c r="O65" s="298"/>
      <c r="P65" s="300"/>
      <c r="Y65" s="166">
        <f>F78+J79+N78</f>
        <v>0</v>
      </c>
      <c r="Z65" s="1"/>
      <c r="AA65" s="1"/>
      <c r="AB65" s="168"/>
      <c r="BC65" s="126"/>
      <c r="BD65" s="126"/>
      <c r="BE65" s="126"/>
      <c r="BI65" s="127" t="s">
        <v>171</v>
      </c>
      <c r="BJ65" s="127"/>
      <c r="BK65" s="127"/>
      <c r="BM65" s="127" t="s">
        <v>171</v>
      </c>
      <c r="BN65" s="127"/>
      <c r="BO65" s="127"/>
    </row>
    <row r="66" spans="3:69" ht="15" hidden="1" x14ac:dyDescent="0.2">
      <c r="BC66" s="126"/>
      <c r="BD66" s="126"/>
      <c r="BE66" s="126"/>
      <c r="BI66" s="71"/>
      <c r="BJ66" s="71" t="s">
        <v>168</v>
      </c>
      <c r="BK66" s="74" t="e">
        <f>(BK56*0.732)-28.58</f>
        <v>#DIV/0!</v>
      </c>
      <c r="BM66" s="71"/>
      <c r="BN66" s="77">
        <v>40.76</v>
      </c>
      <c r="BO66" s="74" t="e">
        <f>BK66</f>
        <v>#DIV/0!</v>
      </c>
    </row>
    <row r="67" spans="3:69" ht="15" x14ac:dyDescent="0.2">
      <c r="C67" s="362" t="s">
        <v>203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S67" t="s">
        <v>375</v>
      </c>
      <c r="BC67" s="126"/>
      <c r="BD67" s="126"/>
      <c r="BE67" s="126"/>
      <c r="BI67" s="128" t="s">
        <v>169</v>
      </c>
      <c r="BJ67" s="128"/>
      <c r="BK67" s="74" t="e">
        <f>(BK56*0.463)-17.63</f>
        <v>#DIV/0!</v>
      </c>
      <c r="BM67" s="76"/>
      <c r="BN67" s="78">
        <v>38.26</v>
      </c>
      <c r="BO67" s="74" t="e">
        <f>BK67</f>
        <v>#DIV/0!</v>
      </c>
    </row>
    <row r="68" spans="3:69" ht="15" x14ac:dyDescent="0.2">
      <c r="C68" s="238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7"/>
      <c r="S68" t="s">
        <v>385</v>
      </c>
      <c r="W68" s="310" t="s">
        <v>40</v>
      </c>
      <c r="X68" s="178" t="str">
        <f>IF(E75="Faulkner",S78,"-")</f>
        <v>-</v>
      </c>
      <c r="Z68" s="32"/>
      <c r="AB68" s="21"/>
      <c r="AD68" s="21"/>
      <c r="BC68" s="126"/>
      <c r="BD68" s="126"/>
      <c r="BE68" s="126"/>
      <c r="BI68" s="71"/>
      <c r="BJ68" s="71" t="s">
        <v>170</v>
      </c>
      <c r="BK68" s="71">
        <v>0.1</v>
      </c>
      <c r="BM68" s="71"/>
      <c r="BN68" s="77">
        <v>1</v>
      </c>
      <c r="BO68" s="74">
        <f>BK68</f>
        <v>0.1</v>
      </c>
    </row>
    <row r="69" spans="3:69" ht="15" x14ac:dyDescent="0.2">
      <c r="C69" s="240"/>
      <c r="D69" s="221"/>
      <c r="E69" s="221"/>
      <c r="F69" s="306" t="s">
        <v>92</v>
      </c>
      <c r="G69" s="221"/>
      <c r="H69" s="306" t="s">
        <v>93</v>
      </c>
      <c r="I69" s="221"/>
      <c r="J69" s="221"/>
      <c r="K69" s="221"/>
      <c r="L69" s="221"/>
      <c r="M69" s="221"/>
      <c r="N69" s="221"/>
      <c r="O69" s="221"/>
      <c r="P69" s="278"/>
      <c r="S69" t="s">
        <v>258</v>
      </c>
      <c r="BC69" s="126"/>
      <c r="BD69" s="126"/>
      <c r="BE69" s="126"/>
    </row>
    <row r="70" spans="3:69" ht="15" x14ac:dyDescent="0.2">
      <c r="C70" s="240"/>
      <c r="D70" s="307" t="s">
        <v>12</v>
      </c>
      <c r="E70" s="307"/>
      <c r="F70" s="313"/>
      <c r="G70" s="221"/>
      <c r="H70" s="313"/>
      <c r="I70" s="221"/>
      <c r="J70" s="377" t="s">
        <v>91</v>
      </c>
      <c r="K70" s="377"/>
      <c r="L70" s="249"/>
      <c r="M70" s="221"/>
      <c r="N70" s="221"/>
      <c r="O70" s="221"/>
      <c r="P70" s="278"/>
      <c r="S70" t="s">
        <v>265</v>
      </c>
      <c r="BB70">
        <v>9</v>
      </c>
      <c r="BC70" s="126" t="s">
        <v>180</v>
      </c>
      <c r="BD70" s="126"/>
      <c r="BE70" s="126"/>
    </row>
    <row r="71" spans="3:69" ht="15" x14ac:dyDescent="0.2">
      <c r="C71" s="240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78"/>
      <c r="S71" t="s">
        <v>373</v>
      </c>
      <c r="W71" s="163"/>
      <c r="X71" s="169" t="s">
        <v>260</v>
      </c>
      <c r="Y71" s="169"/>
      <c r="Z71" s="169"/>
      <c r="AA71" s="171"/>
      <c r="BC71" s="126"/>
      <c r="BD71" s="126"/>
      <c r="BE71" s="126"/>
      <c r="BQ71" s="79" t="s">
        <v>138</v>
      </c>
    </row>
    <row r="72" spans="3:69" ht="15" x14ac:dyDescent="0.2">
      <c r="C72" s="240"/>
      <c r="D72" s="377" t="s">
        <v>118</v>
      </c>
      <c r="E72" s="377"/>
      <c r="F72" s="264"/>
      <c r="G72" s="221"/>
      <c r="H72" s="377" t="s">
        <v>17</v>
      </c>
      <c r="I72" s="377"/>
      <c r="J72" s="250"/>
      <c r="K72" s="377" t="s">
        <v>277</v>
      </c>
      <c r="L72" s="377"/>
      <c r="M72" s="377"/>
      <c r="N72" s="258" t="str">
        <f>IF(J72="","-",66+(13.8*F72)+(5*U102)-(6.8*N9))</f>
        <v>-</v>
      </c>
      <c r="O72" s="221"/>
      <c r="P72" s="278"/>
      <c r="S72" t="s">
        <v>372</v>
      </c>
      <c r="W72" s="2"/>
      <c r="X72" s="106" t="e">
        <f>IF(EJ4=0,SUM(1.0994921-(0.0009929*Y65)+(0.0000023*(Y65*Y65))-(0.0001392*N9)),SUM((1.10938-(0.0008267*Y61)+(0.0000016*(Y61*Y61))-(0.0002574*N9))))</f>
        <v>#VALUE!</v>
      </c>
      <c r="Y72" s="106"/>
      <c r="Z72" s="106"/>
      <c r="AA72" s="165"/>
      <c r="BC72" s="126"/>
      <c r="BD72" s="126"/>
      <c r="BE72" s="126"/>
      <c r="BQ72" s="79">
        <v>6</v>
      </c>
    </row>
    <row r="73" spans="3:69" ht="15" x14ac:dyDescent="0.2">
      <c r="C73" s="240"/>
      <c r="D73" s="307"/>
      <c r="E73" s="307"/>
      <c r="F73" s="312"/>
      <c r="G73" s="256"/>
      <c r="H73" s="312"/>
      <c r="I73" s="221"/>
      <c r="J73" s="221"/>
      <c r="K73" s="221"/>
      <c r="L73" s="221"/>
      <c r="M73" s="221"/>
      <c r="N73" s="221"/>
      <c r="O73" s="221"/>
      <c r="P73" s="278"/>
      <c r="S73" t="s">
        <v>387</v>
      </c>
      <c r="W73" s="2"/>
      <c r="X73" s="106"/>
      <c r="Y73" s="106"/>
      <c r="Z73" s="106"/>
      <c r="AA73" s="165"/>
      <c r="BC73" s="126"/>
      <c r="BD73" s="126"/>
      <c r="BE73" s="126"/>
    </row>
    <row r="74" spans="3:69" ht="15" x14ac:dyDescent="0.2">
      <c r="C74" s="240"/>
      <c r="D74" s="493" t="s">
        <v>256</v>
      </c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78"/>
      <c r="S74" t="s">
        <v>374</v>
      </c>
      <c r="W74" s="2"/>
      <c r="X74" s="106"/>
      <c r="Y74" s="106"/>
      <c r="Z74" s="106"/>
      <c r="AA74" s="165"/>
      <c r="BC74" s="126"/>
      <c r="BD74" s="126"/>
      <c r="BE74" s="126"/>
    </row>
    <row r="75" spans="3:69" ht="15" x14ac:dyDescent="0.2">
      <c r="C75" s="240"/>
      <c r="D75" s="493"/>
      <c r="E75" s="383"/>
      <c r="F75" s="384"/>
      <c r="G75" s="384"/>
      <c r="H75" s="384"/>
      <c r="I75" s="384"/>
      <c r="J75" s="385"/>
      <c r="K75" s="221"/>
      <c r="L75" s="221"/>
      <c r="M75" s="221"/>
      <c r="N75" s="221"/>
      <c r="O75" s="221"/>
      <c r="P75" s="278"/>
      <c r="S75" t="s">
        <v>376</v>
      </c>
      <c r="W75" s="2"/>
      <c r="X75" s="106"/>
      <c r="Y75" s="106"/>
      <c r="Z75" s="106"/>
      <c r="AA75" s="165"/>
      <c r="BC75" s="126"/>
      <c r="BD75" s="126"/>
      <c r="BE75" s="126"/>
    </row>
    <row r="76" spans="3:69" ht="15" x14ac:dyDescent="0.2">
      <c r="C76" s="240"/>
      <c r="D76" s="376" t="s">
        <v>116</v>
      </c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221"/>
      <c r="P76" s="278"/>
      <c r="W76" s="2"/>
      <c r="X76" s="106"/>
      <c r="Y76" s="106"/>
      <c r="Z76" s="106"/>
      <c r="AA76" s="165"/>
      <c r="BC76" s="126"/>
      <c r="BD76" s="126"/>
      <c r="BE76" s="126"/>
      <c r="BL76" t="e">
        <f>VLOOKUP(BQ72,BB62:BE76,2,FALSE)</f>
        <v>#N/A</v>
      </c>
    </row>
    <row r="77" spans="3:69" ht="15" x14ac:dyDescent="0.2">
      <c r="C77" s="240"/>
      <c r="D77" s="377" t="s">
        <v>18</v>
      </c>
      <c r="E77" s="377"/>
      <c r="F77" s="313"/>
      <c r="G77" s="221"/>
      <c r="H77" s="377" t="s">
        <v>20</v>
      </c>
      <c r="I77" s="377"/>
      <c r="J77" s="313"/>
      <c r="K77" s="221"/>
      <c r="L77" s="377" t="s">
        <v>22</v>
      </c>
      <c r="M77" s="377"/>
      <c r="N77" s="313"/>
      <c r="O77" s="221"/>
      <c r="P77" s="278"/>
      <c r="S77" s="175" t="s">
        <v>259</v>
      </c>
      <c r="W77" s="2"/>
      <c r="X77" s="170" t="s">
        <v>266</v>
      </c>
      <c r="Y77" s="170"/>
      <c r="Z77" s="106"/>
      <c r="AA77" s="165"/>
    </row>
    <row r="78" spans="3:69" ht="15" x14ac:dyDescent="0.2">
      <c r="C78" s="240"/>
      <c r="D78" s="377" t="s">
        <v>19</v>
      </c>
      <c r="E78" s="377"/>
      <c r="F78" s="313"/>
      <c r="G78" s="221"/>
      <c r="H78" s="377" t="s">
        <v>21</v>
      </c>
      <c r="I78" s="377"/>
      <c r="J78" s="313"/>
      <c r="K78" s="221"/>
      <c r="L78" s="377" t="s">
        <v>23</v>
      </c>
      <c r="M78" s="377"/>
      <c r="N78" s="313"/>
      <c r="O78" s="221"/>
      <c r="P78" s="278"/>
      <c r="S78" s="176">
        <f>(F78+F77+J79+N77)*0.153+5.783</f>
        <v>5.7830000000000004</v>
      </c>
      <c r="W78" s="166"/>
      <c r="X78" s="167" t="e">
        <f>((4.95/X72)-4.5)*100</f>
        <v>#VALUE!</v>
      </c>
      <c r="Y78" s="1"/>
      <c r="Z78" s="1"/>
      <c r="AA78" s="168"/>
    </row>
    <row r="79" spans="3:69" ht="15" x14ac:dyDescent="0.2">
      <c r="C79" s="240"/>
      <c r="D79" s="377" t="s">
        <v>368</v>
      </c>
      <c r="E79" s="377"/>
      <c r="F79" s="313"/>
      <c r="G79" s="221"/>
      <c r="H79" s="377" t="s">
        <v>43</v>
      </c>
      <c r="I79" s="377"/>
      <c r="J79" s="313"/>
      <c r="K79" s="221"/>
      <c r="L79" s="377" t="s">
        <v>367</v>
      </c>
      <c r="M79" s="377"/>
      <c r="N79" s="313"/>
      <c r="O79" s="221"/>
      <c r="P79" s="278"/>
    </row>
    <row r="80" spans="3:69" ht="15" x14ac:dyDescent="0.2">
      <c r="C80" s="240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78"/>
      <c r="W80" s="426" t="s">
        <v>375</v>
      </c>
      <c r="X80" s="426"/>
      <c r="Y80" s="21" t="e">
        <f>IF(L9="Feminino",1.2*J101+0.23*N9-10.8*0-5.4,1.2*J101+0.23*N9-10.8*1-5.4)</f>
        <v>#VALUE!</v>
      </c>
    </row>
    <row r="81" spans="3:61" ht="15" x14ac:dyDescent="0.2">
      <c r="C81" s="240"/>
      <c r="D81" s="221"/>
      <c r="E81" s="221"/>
      <c r="F81" s="221"/>
      <c r="G81" s="221"/>
      <c r="H81" s="221"/>
      <c r="I81" s="221"/>
      <c r="J81" s="221"/>
      <c r="K81" s="221"/>
      <c r="L81" s="377" t="s">
        <v>24</v>
      </c>
      <c r="M81" s="377"/>
      <c r="N81" s="257">
        <f>'Avaliação Física 4'!DV23+N79+F79</f>
        <v>0</v>
      </c>
      <c r="O81" s="221"/>
      <c r="P81" s="278"/>
      <c r="W81" s="426" t="s">
        <v>376</v>
      </c>
      <c r="X81" s="426"/>
      <c r="Y81" s="21">
        <f>IF(L9="feminino",0.11077*F87-0.17666*U102+0.187*F72+51.03301,0.31457*F87-0.10969*F72+10.8336)</f>
        <v>10.833600000000001</v>
      </c>
    </row>
    <row r="82" spans="3:61" ht="15" x14ac:dyDescent="0.2">
      <c r="C82" s="240"/>
      <c r="D82" s="486" t="s">
        <v>117</v>
      </c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221"/>
      <c r="P82" s="278"/>
    </row>
    <row r="83" spans="3:61" ht="15" x14ac:dyDescent="0.2">
      <c r="C83" s="240"/>
      <c r="D83" s="221"/>
      <c r="E83" s="221"/>
      <c r="F83" s="221"/>
      <c r="G83" s="221"/>
      <c r="H83" s="221"/>
      <c r="I83" s="221"/>
      <c r="J83" s="306" t="s">
        <v>57</v>
      </c>
      <c r="K83" s="306"/>
      <c r="L83" s="306" t="s">
        <v>58</v>
      </c>
      <c r="M83" s="221"/>
      <c r="N83" s="221"/>
      <c r="O83" s="221"/>
      <c r="P83" s="278"/>
      <c r="S83" t="s">
        <v>257</v>
      </c>
    </row>
    <row r="84" spans="3:61" ht="15" x14ac:dyDescent="0.2">
      <c r="C84" s="240"/>
      <c r="D84" s="377" t="s">
        <v>226</v>
      </c>
      <c r="E84" s="377"/>
      <c r="F84" s="313"/>
      <c r="G84" s="221"/>
      <c r="H84" s="377" t="s">
        <v>207</v>
      </c>
      <c r="I84" s="377"/>
      <c r="J84" s="313"/>
      <c r="K84" s="221"/>
      <c r="L84" s="313"/>
      <c r="M84" s="221"/>
      <c r="N84" s="221"/>
      <c r="O84" s="221"/>
      <c r="P84" s="278"/>
    </row>
    <row r="85" spans="3:61" ht="15" x14ac:dyDescent="0.2">
      <c r="C85" s="240"/>
      <c r="D85" s="377" t="s">
        <v>227</v>
      </c>
      <c r="E85" s="377"/>
      <c r="F85" s="313"/>
      <c r="G85" s="221"/>
      <c r="H85" s="377" t="s">
        <v>208</v>
      </c>
      <c r="I85" s="377"/>
      <c r="J85" s="313"/>
      <c r="K85" s="221"/>
      <c r="L85" s="313"/>
      <c r="M85" s="221"/>
      <c r="N85" s="221"/>
      <c r="O85" s="221"/>
      <c r="P85" s="278"/>
      <c r="S85">
        <f>J84-L84</f>
        <v>0</v>
      </c>
      <c r="AA85" t="e">
        <f>INDEX(E75,MATCH(AB:AB,X:AA,0))</f>
        <v>#N/A</v>
      </c>
    </row>
    <row r="86" spans="3:61" ht="15" x14ac:dyDescent="0.2">
      <c r="C86" s="240"/>
      <c r="D86" s="377" t="s">
        <v>205</v>
      </c>
      <c r="E86" s="377"/>
      <c r="F86" s="313"/>
      <c r="G86" s="221"/>
      <c r="H86" s="377" t="s">
        <v>209</v>
      </c>
      <c r="I86" s="377"/>
      <c r="J86" s="313"/>
      <c r="K86" s="221"/>
      <c r="L86" s="313"/>
      <c r="M86" s="221"/>
      <c r="N86" s="221"/>
      <c r="O86" s="221"/>
      <c r="P86" s="278"/>
      <c r="S86">
        <f>J85-L85</f>
        <v>0</v>
      </c>
      <c r="BG86" s="82">
        <v>3</v>
      </c>
      <c r="BH86" s="82">
        <v>2</v>
      </c>
      <c r="BI86" s="82">
        <v>2</v>
      </c>
    </row>
    <row r="87" spans="3:61" ht="15" x14ac:dyDescent="0.2">
      <c r="C87" s="240"/>
      <c r="D87" s="377" t="s">
        <v>377</v>
      </c>
      <c r="E87" s="377"/>
      <c r="F87" s="313"/>
      <c r="G87" s="221"/>
      <c r="H87" s="377" t="s">
        <v>210</v>
      </c>
      <c r="I87" s="377"/>
      <c r="J87" s="313"/>
      <c r="K87" s="221"/>
      <c r="L87" s="313"/>
      <c r="M87" s="221"/>
      <c r="N87" s="221"/>
      <c r="O87" s="221"/>
      <c r="P87" s="278"/>
      <c r="S87">
        <f>J86-L86</f>
        <v>0</v>
      </c>
    </row>
    <row r="88" spans="3:61" ht="15" x14ac:dyDescent="0.2">
      <c r="C88" s="240"/>
      <c r="D88" s="377" t="s">
        <v>206</v>
      </c>
      <c r="E88" s="377"/>
      <c r="F88" s="313"/>
      <c r="G88" s="221"/>
      <c r="H88" s="487"/>
      <c r="I88" s="487"/>
      <c r="J88" s="313"/>
      <c r="K88" s="221"/>
      <c r="L88" s="313"/>
      <c r="M88" s="221"/>
      <c r="N88" s="221"/>
      <c r="O88" s="221"/>
      <c r="P88" s="278"/>
      <c r="S88">
        <f>J87-L87</f>
        <v>0</v>
      </c>
      <c r="U88" s="6" t="s">
        <v>26</v>
      </c>
      <c r="V88" s="6" t="s">
        <v>27</v>
      </c>
      <c r="X88">
        <v>1</v>
      </c>
      <c r="Y88" s="426" t="s">
        <v>258</v>
      </c>
      <c r="Z88" s="426"/>
      <c r="AA88" s="426"/>
      <c r="AB88" s="21">
        <f>S78</f>
        <v>5.7830000000000004</v>
      </c>
    </row>
    <row r="89" spans="3:61" ht="15" x14ac:dyDescent="0.2">
      <c r="C89" s="240"/>
      <c r="D89" s="307"/>
      <c r="E89" s="307"/>
      <c r="F89" s="256"/>
      <c r="G89" s="256"/>
      <c r="H89" s="256"/>
      <c r="I89" s="256"/>
      <c r="J89" s="256"/>
      <c r="K89" s="256"/>
      <c r="L89" s="256"/>
      <c r="M89" s="221"/>
      <c r="N89" s="221"/>
      <c r="O89" s="221"/>
      <c r="P89" s="278"/>
      <c r="U89" s="7"/>
      <c r="V89" s="7"/>
      <c r="X89">
        <v>2</v>
      </c>
      <c r="Y89" s="426" t="s">
        <v>263</v>
      </c>
      <c r="Z89" s="426"/>
      <c r="AA89" s="426"/>
      <c r="AB89" s="21" t="e">
        <f>EL26</f>
        <v>#VALUE!</v>
      </c>
    </row>
    <row r="90" spans="3:61" ht="15" x14ac:dyDescent="0.2">
      <c r="C90" s="240"/>
      <c r="D90" s="261"/>
      <c r="E90" s="261"/>
      <c r="F90" s="283"/>
      <c r="G90" s="283"/>
      <c r="H90" s="473"/>
      <c r="I90" s="473"/>
      <c r="J90" s="312"/>
      <c r="K90" s="256"/>
      <c r="L90" s="312"/>
      <c r="M90" s="221"/>
      <c r="N90" s="221"/>
      <c r="O90" s="221"/>
      <c r="P90" s="278"/>
      <c r="R90" s="310" t="s">
        <v>388</v>
      </c>
      <c r="S90">
        <f>IF(S85&lt;0,-S85,S85)</f>
        <v>0</v>
      </c>
      <c r="U90" s="7"/>
      <c r="V90" s="7"/>
      <c r="X90">
        <v>3</v>
      </c>
      <c r="Y90" s="426" t="s">
        <v>264</v>
      </c>
      <c r="Z90" s="426"/>
      <c r="AA90" s="426"/>
      <c r="AB90" s="21" t="e">
        <f>X78</f>
        <v>#VALUE!</v>
      </c>
    </row>
    <row r="91" spans="3:61" ht="15" x14ac:dyDescent="0.2">
      <c r="C91" s="240"/>
      <c r="D91" s="307" t="s">
        <v>62</v>
      </c>
      <c r="E91" s="430" t="str">
        <f>IF(F88="","-",F86/F88)</f>
        <v>-</v>
      </c>
      <c r="F91" s="488"/>
      <c r="G91" s="221"/>
      <c r="H91" s="307" t="s">
        <v>27</v>
      </c>
      <c r="I91" s="446" t="str">
        <f>IF(F88="","-",'Avaliação Física 4'!AY18)</f>
        <v>-</v>
      </c>
      <c r="J91" s="431"/>
      <c r="K91" s="221"/>
      <c r="L91" s="221"/>
      <c r="M91" s="221"/>
      <c r="N91" s="221"/>
      <c r="O91" s="221"/>
      <c r="P91" s="278"/>
      <c r="R91" s="310" t="s">
        <v>389</v>
      </c>
      <c r="S91">
        <f t="shared" ref="S91:S93" si="1">IF(S86&lt;0,-S86,S86)</f>
        <v>0</v>
      </c>
      <c r="U91" s="7">
        <v>0</v>
      </c>
      <c r="V91" s="7" t="s">
        <v>28</v>
      </c>
      <c r="X91">
        <v>4</v>
      </c>
      <c r="Y91" s="426" t="s">
        <v>265</v>
      </c>
      <c r="Z91" s="426"/>
      <c r="AA91" s="426"/>
      <c r="AB91" s="21" t="e">
        <f>Y43</f>
        <v>#NUM!</v>
      </c>
    </row>
    <row r="92" spans="3:61" ht="15" x14ac:dyDescent="0.2">
      <c r="C92" s="240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78"/>
      <c r="R92" s="310" t="s">
        <v>390</v>
      </c>
      <c r="S92">
        <f t="shared" si="1"/>
        <v>0</v>
      </c>
      <c r="U92" s="7">
        <v>16.100000000000001</v>
      </c>
      <c r="V92" s="7" t="s">
        <v>29</v>
      </c>
      <c r="X92">
        <v>5</v>
      </c>
      <c r="Y92" s="477" t="s">
        <v>374</v>
      </c>
      <c r="Z92" s="477"/>
      <c r="AA92" s="477"/>
      <c r="AB92">
        <f>T120</f>
        <v>1</v>
      </c>
      <c r="BB92">
        <v>1</v>
      </c>
      <c r="BC92" s="126" t="s">
        <v>172</v>
      </c>
      <c r="BD92" s="126"/>
      <c r="BE92" s="126"/>
    </row>
    <row r="93" spans="3:61" ht="15" x14ac:dyDescent="0.2">
      <c r="C93" s="240"/>
      <c r="D93" s="486" t="s">
        <v>212</v>
      </c>
      <c r="E93" s="486"/>
      <c r="F93" s="486"/>
      <c r="G93" s="486"/>
      <c r="H93" s="486"/>
      <c r="I93" s="486"/>
      <c r="J93" s="486"/>
      <c r="K93" s="486"/>
      <c r="L93" s="486"/>
      <c r="M93" s="221"/>
      <c r="N93" s="221"/>
      <c r="O93" s="221"/>
      <c r="P93" s="278"/>
      <c r="R93" s="310" t="s">
        <v>391</v>
      </c>
      <c r="S93">
        <f t="shared" si="1"/>
        <v>0</v>
      </c>
      <c r="U93" s="7">
        <v>17</v>
      </c>
      <c r="V93" s="7" t="s">
        <v>30</v>
      </c>
      <c r="X93">
        <v>6</v>
      </c>
      <c r="Y93" s="426" t="s">
        <v>375</v>
      </c>
      <c r="Z93" s="426"/>
      <c r="AA93" s="426"/>
      <c r="AB93" s="21" t="e">
        <f>Y80</f>
        <v>#VALUE!</v>
      </c>
      <c r="BB93">
        <v>2</v>
      </c>
      <c r="BC93" s="126" t="s">
        <v>173</v>
      </c>
      <c r="BD93" s="126"/>
      <c r="BE93" s="126"/>
      <c r="BH93" s="308" t="str">
        <f>IF(AND(BG86&lt;BH86,BH86&lt;BI86),"ECTOMORFO-ENDOMORFO","")</f>
        <v/>
      </c>
    </row>
    <row r="94" spans="3:61" ht="15" x14ac:dyDescent="0.2">
      <c r="C94" s="240"/>
      <c r="D94" s="377" t="s">
        <v>151</v>
      </c>
      <c r="E94" s="377"/>
      <c r="F94" s="377"/>
      <c r="G94" s="472"/>
      <c r="H94" s="472"/>
      <c r="I94" s="221"/>
      <c r="J94" s="307" t="s">
        <v>154</v>
      </c>
      <c r="K94" s="472"/>
      <c r="L94" s="472"/>
      <c r="M94" s="221"/>
      <c r="N94" s="221"/>
      <c r="O94" s="221"/>
      <c r="P94" s="278"/>
      <c r="U94" s="7">
        <v>18.5</v>
      </c>
      <c r="V94" s="7" t="s">
        <v>31</v>
      </c>
      <c r="X94">
        <v>7</v>
      </c>
      <c r="Y94" s="426" t="s">
        <v>376</v>
      </c>
      <c r="Z94" s="426"/>
      <c r="AA94" s="426"/>
      <c r="AB94">
        <f>Y81</f>
        <v>10.833600000000001</v>
      </c>
      <c r="BB94">
        <v>3</v>
      </c>
      <c r="BC94" s="126" t="s">
        <v>174</v>
      </c>
      <c r="BD94" s="126"/>
      <c r="BE94" s="126"/>
    </row>
    <row r="95" spans="3:61" ht="15" x14ac:dyDescent="0.2">
      <c r="C95" s="240"/>
      <c r="D95" s="377" t="s">
        <v>242</v>
      </c>
      <c r="E95" s="377"/>
      <c r="F95" s="377"/>
      <c r="G95" s="472"/>
      <c r="H95" s="472"/>
      <c r="I95" s="221"/>
      <c r="J95" s="221"/>
      <c r="K95" s="221"/>
      <c r="L95" s="221"/>
      <c r="M95" s="221"/>
      <c r="N95" s="221"/>
      <c r="O95" s="221"/>
      <c r="P95" s="278"/>
      <c r="U95" s="7">
        <v>24.5</v>
      </c>
      <c r="V95" s="7" t="s">
        <v>32</v>
      </c>
      <c r="X95">
        <v>8</v>
      </c>
      <c r="Y95" s="426" t="s">
        <v>370</v>
      </c>
      <c r="Z95" s="426"/>
      <c r="AA95" s="426"/>
      <c r="AB95" s="21" t="e">
        <f>AA177</f>
        <v>#NUM!</v>
      </c>
      <c r="BB95">
        <v>4</v>
      </c>
      <c r="BC95" s="126" t="s">
        <v>175</v>
      </c>
      <c r="BD95" s="126"/>
      <c r="BE95" s="126"/>
      <c r="BH95" s="79" t="str">
        <f>IF(AND(BG86&gt;BH86,BH86=BI86),"Endomorfo","-")</f>
        <v>Endomorfo</v>
      </c>
    </row>
    <row r="96" spans="3:61" ht="15" x14ac:dyDescent="0.2">
      <c r="C96" s="240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78"/>
      <c r="S96" t="str">
        <f>L101</f>
        <v>(informe peso e altura)</v>
      </c>
      <c r="U96" s="7">
        <v>30</v>
      </c>
      <c r="V96" s="7" t="s">
        <v>33</v>
      </c>
      <c r="X96">
        <v>9</v>
      </c>
      <c r="Y96" s="426" t="s">
        <v>386</v>
      </c>
      <c r="Z96" s="426"/>
      <c r="AA96" s="426"/>
      <c r="AB96" s="21" t="e">
        <f>Y52</f>
        <v>#VALUE!</v>
      </c>
      <c r="BB96">
        <v>5</v>
      </c>
      <c r="BC96" s="126" t="s">
        <v>176</v>
      </c>
      <c r="BD96" s="126"/>
      <c r="BE96" s="126"/>
    </row>
    <row r="97" spans="3:61" ht="15" x14ac:dyDescent="0.2">
      <c r="C97" s="240"/>
      <c r="D97" s="486" t="s">
        <v>25</v>
      </c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221"/>
      <c r="P97" s="278"/>
      <c r="U97" s="7">
        <v>35</v>
      </c>
      <c r="V97" s="7" t="s">
        <v>34</v>
      </c>
      <c r="BB97">
        <v>6</v>
      </c>
      <c r="BC97" s="126" t="s">
        <v>177</v>
      </c>
      <c r="BD97" s="126"/>
      <c r="BE97" s="126"/>
    </row>
    <row r="98" spans="3:61" ht="15" x14ac:dyDescent="0.2">
      <c r="C98" s="240"/>
      <c r="D98" s="462" t="s">
        <v>120</v>
      </c>
      <c r="E98" s="462"/>
      <c r="F98" s="251" t="str">
        <f>IF(E75="","-",VLOOKUP($E$75,tbGC6912[[nome]:[resultado]],2,FALSE))</f>
        <v>-</v>
      </c>
      <c r="G98" s="221"/>
      <c r="H98" s="462" t="s">
        <v>364</v>
      </c>
      <c r="I98" s="462"/>
      <c r="J98" s="252" t="str">
        <f>IF(F72="","-",IF(L9="feminino",F72*0.209,F72*0.241))</f>
        <v>-</v>
      </c>
      <c r="K98" s="221"/>
      <c r="L98" s="355" t="s">
        <v>366</v>
      </c>
      <c r="M98" s="355"/>
      <c r="N98" s="355"/>
      <c r="O98" s="221"/>
      <c r="P98" s="278"/>
      <c r="U98" s="7"/>
      <c r="V98" s="7"/>
      <c r="BB98">
        <v>7</v>
      </c>
      <c r="BC98" s="126" t="s">
        <v>178</v>
      </c>
      <c r="BD98" s="126"/>
      <c r="BE98" s="126"/>
      <c r="BI98" s="71"/>
    </row>
    <row r="99" spans="3:61" ht="15" x14ac:dyDescent="0.2">
      <c r="C99" s="240"/>
      <c r="D99" s="462" t="s">
        <v>361</v>
      </c>
      <c r="E99" s="462"/>
      <c r="F99" s="252" t="str">
        <f>IF(F72=0,"-",(F72-F100))</f>
        <v>-</v>
      </c>
      <c r="G99" s="221"/>
      <c r="H99" s="462" t="s">
        <v>365</v>
      </c>
      <c r="I99" s="462"/>
      <c r="J99" s="252" t="str">
        <f>IF(J72="","-",3.02*(J72^2*T113*T114*400)^0.712)</f>
        <v>-</v>
      </c>
      <c r="K99" s="221"/>
      <c r="L99" s="499" t="str">
        <f>IF(F98="-","-",AU258)</f>
        <v>-</v>
      </c>
      <c r="M99" s="500"/>
      <c r="N99" s="501"/>
      <c r="O99" s="221"/>
      <c r="P99" s="278"/>
      <c r="U99" s="7">
        <v>40</v>
      </c>
      <c r="V99" s="7" t="s">
        <v>35</v>
      </c>
      <c r="BB99">
        <v>8</v>
      </c>
      <c r="BC99" s="126" t="s">
        <v>179</v>
      </c>
      <c r="BD99" s="126"/>
      <c r="BE99" s="126"/>
    </row>
    <row r="100" spans="3:61" ht="15" x14ac:dyDescent="0.2">
      <c r="C100" s="359" t="s">
        <v>362</v>
      </c>
      <c r="D100" s="360"/>
      <c r="E100" s="361"/>
      <c r="F100" s="252" t="str">
        <f>IF(F72=0,"-",(F72-U107))</f>
        <v>-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78"/>
      <c r="U100" s="7"/>
      <c r="V100" s="7"/>
      <c r="BB100">
        <v>9</v>
      </c>
      <c r="BC100" s="126" t="s">
        <v>180</v>
      </c>
      <c r="BD100" s="126"/>
      <c r="BE100" s="126"/>
    </row>
    <row r="101" spans="3:61" ht="15" x14ac:dyDescent="0.2">
      <c r="C101" s="240"/>
      <c r="D101" s="462" t="s">
        <v>363</v>
      </c>
      <c r="E101" s="462"/>
      <c r="F101" s="252" t="str">
        <f>IF(F72="","-",F72-(F99+J98+J99))</f>
        <v>-</v>
      </c>
      <c r="G101" s="253"/>
      <c r="H101" s="462" t="s">
        <v>26</v>
      </c>
      <c r="I101" s="462"/>
      <c r="J101" s="254" t="str">
        <f>IF(J72="","-",'Avaliação Física 4'!DZ11)</f>
        <v>-</v>
      </c>
      <c r="K101" s="221"/>
      <c r="L101" s="461" t="str">
        <f>IF(J72&gt;0,VLOOKUP(J101,AUX_IMC_Classificação34710[],2,TRUE),"(informe peso e altura)")</f>
        <v>(informe peso e altura)</v>
      </c>
      <c r="M101" s="461"/>
      <c r="N101" s="461"/>
      <c r="O101" s="221"/>
      <c r="P101" s="278"/>
      <c r="BB101">
        <v>10</v>
      </c>
      <c r="BC101" s="126" t="s">
        <v>181</v>
      </c>
      <c r="BD101" s="126"/>
      <c r="BE101" s="126"/>
    </row>
    <row r="102" spans="3:61" ht="15" x14ac:dyDescent="0.2">
      <c r="C102" s="240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78"/>
      <c r="T102" t="s">
        <v>276</v>
      </c>
      <c r="U102">
        <f>J72*100</f>
        <v>0</v>
      </c>
      <c r="BB102">
        <v>11</v>
      </c>
      <c r="BC102" s="126" t="s">
        <v>182</v>
      </c>
      <c r="BD102" s="126"/>
      <c r="BE102" s="126"/>
    </row>
    <row r="103" spans="3:61" ht="15" x14ac:dyDescent="0.2">
      <c r="C103" s="240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78"/>
      <c r="BB103">
        <v>12</v>
      </c>
      <c r="BC103" s="126" t="s">
        <v>183</v>
      </c>
      <c r="BD103" s="126"/>
      <c r="BE103" s="126"/>
    </row>
    <row r="104" spans="3:61" ht="15" x14ac:dyDescent="0.2">
      <c r="C104" s="240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78"/>
      <c r="BB104">
        <v>13</v>
      </c>
      <c r="BC104" s="126" t="s">
        <v>184</v>
      </c>
      <c r="BD104" s="126"/>
      <c r="BE104" s="126"/>
    </row>
    <row r="105" spans="3:61" ht="15" x14ac:dyDescent="0.2">
      <c r="C105" s="240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78"/>
    </row>
    <row r="106" spans="3:61" ht="15" x14ac:dyDescent="0.2">
      <c r="C106" s="240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78"/>
      <c r="X106" t="s">
        <v>271</v>
      </c>
      <c r="Y106" t="e">
        <f>1.17136-((LOG10(Y35))*0.06706)</f>
        <v>#NUM!</v>
      </c>
    </row>
    <row r="107" spans="3:61" ht="15" x14ac:dyDescent="0.2">
      <c r="C107" s="240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78"/>
      <c r="U107" s="179" t="e">
        <f>F72*F98%</f>
        <v>#VALUE!</v>
      </c>
    </row>
    <row r="108" spans="3:61" ht="15" x14ac:dyDescent="0.2">
      <c r="C108" s="240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78"/>
      <c r="X108" t="s">
        <v>272</v>
      </c>
      <c r="Y108" t="e">
        <f>1.1665-((LOG10(Y38))*0.07063)</f>
        <v>#NUM!</v>
      </c>
    </row>
    <row r="109" spans="3:61" ht="15" x14ac:dyDescent="0.2">
      <c r="C109" s="240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78"/>
    </row>
    <row r="110" spans="3:61" ht="15" x14ac:dyDescent="0.2">
      <c r="C110" s="240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78"/>
    </row>
    <row r="111" spans="3:61" ht="15" x14ac:dyDescent="0.2">
      <c r="C111" s="240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78"/>
    </row>
    <row r="112" spans="3:61" ht="15" x14ac:dyDescent="0.2">
      <c r="C112" s="240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78"/>
    </row>
    <row r="113" spans="3:28" ht="15" x14ac:dyDescent="0.2">
      <c r="C113" s="240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78"/>
      <c r="S113">
        <f>K94</f>
        <v>0</v>
      </c>
      <c r="T113">
        <f>S113/100</f>
        <v>0</v>
      </c>
    </row>
    <row r="114" spans="3:28" ht="15" x14ac:dyDescent="0.2">
      <c r="C114" s="241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80"/>
      <c r="S114">
        <f>G95</f>
        <v>0</v>
      </c>
      <c r="T114">
        <f>S114/100</f>
        <v>0</v>
      </c>
    </row>
    <row r="115" spans="3:28" ht="15" x14ac:dyDescent="0.2"/>
    <row r="116" spans="3:28" ht="15" x14ac:dyDescent="0.2">
      <c r="C116" s="362" t="s">
        <v>218</v>
      </c>
      <c r="D116" s="362"/>
      <c r="E116" s="362"/>
      <c r="F116" s="362"/>
      <c r="G116" s="362"/>
      <c r="H116" s="362"/>
      <c r="I116" s="362"/>
      <c r="J116" s="362" t="s">
        <v>253</v>
      </c>
      <c r="K116" s="362"/>
      <c r="L116" s="362"/>
      <c r="M116" s="362"/>
      <c r="N116" s="362"/>
      <c r="O116" s="362"/>
      <c r="P116" s="362"/>
      <c r="AB116" t="s">
        <v>240</v>
      </c>
    </row>
    <row r="117" spans="3:28" ht="4.9000000000000004" customHeight="1" x14ac:dyDescent="0.3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</row>
    <row r="118" spans="3:28" ht="15" x14ac:dyDescent="0.2">
      <c r="C118" s="238"/>
      <c r="D118" s="405" t="s">
        <v>220</v>
      </c>
      <c r="E118" s="405"/>
      <c r="F118" s="239" t="str">
        <f>IF(L84="","-",S90)</f>
        <v>-</v>
      </c>
      <c r="G118" s="463" t="str">
        <f>IF(F118&gt;=1.5,"Diferença significativa",IF(F118&lt;=-1.5,"Diferença significativa","Não Significativa"))</f>
        <v>Diferença significativa</v>
      </c>
      <c r="H118" s="464"/>
      <c r="I118" s="233"/>
      <c r="J118" s="358" t="s">
        <v>380</v>
      </c>
      <c r="K118" s="358"/>
      <c r="L118" s="358"/>
      <c r="M118" s="358"/>
      <c r="N118" s="358"/>
      <c r="O118" s="358"/>
      <c r="P118" s="221"/>
      <c r="W118" s="116">
        <v>3</v>
      </c>
      <c r="X118" s="117" t="s">
        <v>233</v>
      </c>
      <c r="Y118" s="118"/>
      <c r="Z118" s="118"/>
      <c r="AB118" s="21" t="e">
        <f>(J119*(170.18/(100*J72))-24.78)/4.31</f>
        <v>#DIV/0!</v>
      </c>
    </row>
    <row r="119" spans="3:28" ht="15" x14ac:dyDescent="0.2">
      <c r="C119" s="240"/>
      <c r="D119" s="406" t="s">
        <v>219</v>
      </c>
      <c r="E119" s="406"/>
      <c r="F119" s="234" t="str">
        <f>IF(L85="","-",S91)</f>
        <v>-</v>
      </c>
      <c r="G119" s="465" t="str">
        <f>IF(F119&gt;=1.5,"Diferença significativa",IF(F119&lt;=-1.5,"Diferença significativa","Não Significativa"))</f>
        <v>Diferença significativa</v>
      </c>
      <c r="H119" s="466"/>
      <c r="I119" s="233"/>
      <c r="J119" s="236">
        <f>J84-(3.1415*F78/10)</f>
        <v>0</v>
      </c>
      <c r="K119" s="235">
        <f t="shared" ref="K119:K121" si="2">IF(G119="Não significativa",0,1)</f>
        <v>1</v>
      </c>
      <c r="L119" s="469" t="str">
        <f>IF(J84=0,"-",IF(J84&gt;0,IF(AB118&gt;3,X118,IF(AB118&gt;2,X119,IF(AB118&gt;1,X120,IF(AB118&gt;-1,X121,IF(AB118&gt;-2,X122,IF(AB118&gt;-3,X123,IF(AB118&lt;-3,X124)))))))))</f>
        <v>-</v>
      </c>
      <c r="M119" s="470"/>
      <c r="N119" s="470"/>
      <c r="O119" s="471"/>
      <c r="P119" s="221"/>
      <c r="T119" s="497" t="s">
        <v>369</v>
      </c>
      <c r="U119" s="497"/>
      <c r="W119" s="116">
        <v>2</v>
      </c>
      <c r="X119" s="117" t="s">
        <v>234</v>
      </c>
      <c r="Y119" s="118"/>
      <c r="Z119" s="118"/>
    </row>
    <row r="120" spans="3:28" ht="15.75" x14ac:dyDescent="0.2">
      <c r="C120" s="240"/>
      <c r="D120" s="406" t="s">
        <v>221</v>
      </c>
      <c r="E120" s="406"/>
      <c r="F120" s="234" t="str">
        <f>IF(L86="","-",S92)</f>
        <v>-</v>
      </c>
      <c r="G120" s="465" t="str">
        <f>IF(F120&gt;=1.5,"Diferença significativa",IF(F120&lt;=-1.5,"Diferença significativa","Não Significativa"))</f>
        <v>Diferença significativa</v>
      </c>
      <c r="H120" s="466"/>
      <c r="I120" s="233"/>
      <c r="J120" s="360" t="s">
        <v>254</v>
      </c>
      <c r="K120" s="360"/>
      <c r="L120" s="360"/>
      <c r="M120" s="360"/>
      <c r="N120" s="360"/>
      <c r="O120" s="360"/>
      <c r="P120" s="360"/>
      <c r="T120">
        <f>IF(L9="Feminino",0.61*(F78+N79)+5.1,0.735*(F78+N79)+1)</f>
        <v>1</v>
      </c>
      <c r="W120" s="116">
        <v>1</v>
      </c>
      <c r="X120" s="117" t="s">
        <v>235</v>
      </c>
      <c r="Y120" s="118"/>
      <c r="Z120" s="118"/>
      <c r="AB120" t="s">
        <v>241</v>
      </c>
    </row>
    <row r="121" spans="3:28" ht="15" x14ac:dyDescent="0.2">
      <c r="C121" s="241"/>
      <c r="D121" s="407" t="s">
        <v>222</v>
      </c>
      <c r="E121" s="407"/>
      <c r="F121" s="242" t="str">
        <f>IF(L87="","-",S93)</f>
        <v>-</v>
      </c>
      <c r="G121" s="467" t="str">
        <f>IF(F121&gt;=1.5,"Diferença significativa",IF(F121&lt;=-1.5,"Diferença significativa","Não Significativa"))</f>
        <v>Diferença significativa</v>
      </c>
      <c r="H121" s="468"/>
      <c r="I121" s="233"/>
      <c r="J121" s="237">
        <f>0.649*((J86-3.1415*(N78/10))^2-(0.3-G95)^2)</f>
        <v>-5.8409999999999997E-2</v>
      </c>
      <c r="K121" s="235">
        <f t="shared" si="2"/>
        <v>1</v>
      </c>
      <c r="L121" s="423" t="str">
        <f>IF(J86=0,"-",IF(J86&gt;0,IF(AB121&gt;3,X118,IF(AB121&gt;2,X119,IF(AB121&gt;1,X120,IF(AB121&gt;-1,X121,IF(AB121&gt;-2,X122,IF(AB121&gt;-3,X123,IF(AB121&lt;-3,X124)))))))))</f>
        <v>-</v>
      </c>
      <c r="M121" s="424"/>
      <c r="N121" s="424"/>
      <c r="O121" s="425"/>
      <c r="P121" s="221"/>
      <c r="W121" s="116">
        <v>0</v>
      </c>
      <c r="X121" s="117" t="s">
        <v>236</v>
      </c>
      <c r="Y121" s="118"/>
      <c r="Z121" s="118"/>
      <c r="AB121" s="21" t="e">
        <f>(J121*(170.18/(100*J72))-1242.6)/210.9</f>
        <v>#DIV/0!</v>
      </c>
    </row>
    <row r="122" spans="3:28" ht="15" x14ac:dyDescent="0.2">
      <c r="W122" s="116">
        <v>-1</v>
      </c>
      <c r="X122" s="117" t="s">
        <v>237</v>
      </c>
      <c r="Y122" s="118"/>
      <c r="Z122" s="118"/>
    </row>
    <row r="123" spans="3:28" ht="14.45" hidden="1" customHeight="1" x14ac:dyDescent="0.2">
      <c r="C123" s="92"/>
      <c r="W123" s="116">
        <v>-2</v>
      </c>
      <c r="X123" s="117" t="s">
        <v>238</v>
      </c>
      <c r="Y123" s="118"/>
      <c r="Z123" s="118"/>
    </row>
    <row r="124" spans="3:28" ht="14.45" hidden="1" customHeight="1" x14ac:dyDescent="0.2">
      <c r="F124" s="314"/>
      <c r="H124" s="314"/>
      <c r="W124" s="116">
        <v>-3</v>
      </c>
      <c r="X124" s="117" t="s">
        <v>239</v>
      </c>
      <c r="Y124" s="118"/>
      <c r="Z124" s="118"/>
    </row>
    <row r="125" spans="3:28" ht="14.45" hidden="1" customHeight="1" x14ac:dyDescent="0.2">
      <c r="D125" s="426"/>
      <c r="E125" s="426"/>
      <c r="F125" s="314"/>
      <c r="H125" s="314"/>
      <c r="J125" s="426"/>
      <c r="K125" s="426"/>
      <c r="M125" s="457"/>
      <c r="N125" s="457"/>
      <c r="S125" s="314"/>
    </row>
    <row r="126" spans="3:28" ht="14.45" hidden="1" customHeight="1" x14ac:dyDescent="0.2">
      <c r="T126" s="426"/>
      <c r="U126" s="426"/>
      <c r="V126" s="426"/>
    </row>
    <row r="127" spans="3:28" ht="14.45" hidden="1" customHeight="1" x14ac:dyDescent="0.2"/>
    <row r="128" spans="3:28" ht="15" hidden="1" customHeight="1" x14ac:dyDescent="0.2">
      <c r="T128" s="310"/>
      <c r="U128" s="310"/>
      <c r="V128" s="310"/>
      <c r="W128" s="119"/>
      <c r="X128" s="119"/>
    </row>
    <row r="129" spans="19:24" ht="15" hidden="1" customHeight="1" x14ac:dyDescent="0.2">
      <c r="T129" s="310"/>
      <c r="U129" s="310"/>
      <c r="V129" s="310"/>
      <c r="W129" s="119"/>
      <c r="X129" s="119"/>
    </row>
    <row r="130" spans="19:24" ht="15" hidden="1" customHeight="1" x14ac:dyDescent="0.2">
      <c r="S130" s="314"/>
      <c r="T130" s="310"/>
      <c r="U130" s="310"/>
      <c r="V130" s="310"/>
      <c r="W130" s="119"/>
      <c r="X130" s="119"/>
    </row>
    <row r="131" spans="19:24" ht="14.45" hidden="1" customHeight="1" x14ac:dyDescent="0.2">
      <c r="T131" s="310"/>
      <c r="U131" s="310"/>
      <c r="V131" s="310"/>
      <c r="W131" s="119"/>
      <c r="X131" s="119"/>
    </row>
    <row r="132" spans="19:24" ht="14.45" hidden="1" customHeight="1" x14ac:dyDescent="0.2">
      <c r="T132" s="310"/>
      <c r="U132" s="310"/>
      <c r="V132" s="310"/>
      <c r="W132" s="119"/>
      <c r="X132" s="119"/>
    </row>
    <row r="133" spans="19:24" ht="14.45" hidden="1" customHeight="1" x14ac:dyDescent="0.2">
      <c r="T133" s="310"/>
      <c r="U133" s="310"/>
      <c r="V133" s="310"/>
      <c r="W133" s="119"/>
      <c r="X133" s="119"/>
    </row>
    <row r="134" spans="19:24" ht="14.45" hidden="1" customHeight="1" x14ac:dyDescent="0.2">
      <c r="S134" s="314"/>
      <c r="T134" s="310"/>
      <c r="U134" s="310"/>
      <c r="V134" s="310"/>
      <c r="W134" s="119"/>
      <c r="X134" s="119"/>
    </row>
    <row r="135" spans="19:24" ht="14.45" hidden="1" customHeight="1" x14ac:dyDescent="0.2">
      <c r="T135" s="310"/>
      <c r="U135" s="310"/>
      <c r="V135" s="310"/>
      <c r="W135" s="119"/>
      <c r="X135" s="119"/>
    </row>
    <row r="136" spans="19:24" ht="14.45" hidden="1" customHeight="1" x14ac:dyDescent="0.2">
      <c r="S136" s="73"/>
      <c r="T136" s="310"/>
      <c r="U136" s="310"/>
      <c r="V136" s="310"/>
      <c r="W136" s="119"/>
      <c r="X136" s="119"/>
    </row>
    <row r="137" spans="19:24" ht="15" hidden="1" customHeight="1" x14ac:dyDescent="0.2">
      <c r="T137" s="310"/>
      <c r="U137" s="310"/>
      <c r="V137" s="310"/>
      <c r="W137" s="119"/>
      <c r="X137" s="119"/>
    </row>
    <row r="138" spans="19:24" ht="15" hidden="1" x14ac:dyDescent="0.2">
      <c r="W138" s="120"/>
      <c r="X138" s="120"/>
    </row>
    <row r="139" spans="19:24" ht="15" hidden="1" x14ac:dyDescent="0.2"/>
    <row r="140" spans="19:24" ht="15" hidden="1" x14ac:dyDescent="0.2"/>
    <row r="141" spans="19:24" ht="15" hidden="1" x14ac:dyDescent="0.2"/>
    <row r="142" spans="19:24" ht="15" hidden="1" x14ac:dyDescent="0.2"/>
    <row r="143" spans="19:24" ht="15" hidden="1" x14ac:dyDescent="0.2"/>
    <row r="144" spans="19:24" ht="15" hidden="1" x14ac:dyDescent="0.2"/>
    <row r="145" spans="3:28" ht="15" hidden="1" x14ac:dyDescent="0.2"/>
    <row r="146" spans="3:28" ht="15" hidden="1" x14ac:dyDescent="0.2"/>
    <row r="147" spans="3:28" ht="6" hidden="1" customHeight="1" x14ac:dyDescent="0.2"/>
    <row r="148" spans="3:28" ht="14.45" customHeight="1" x14ac:dyDescent="0.3">
      <c r="C148" s="375" t="s">
        <v>211</v>
      </c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X148" s="314" t="s">
        <v>273</v>
      </c>
      <c r="Y148" s="126" t="s">
        <v>274</v>
      </c>
      <c r="Z148" t="s">
        <v>138</v>
      </c>
      <c r="AA148" s="126"/>
    </row>
    <row r="149" spans="3:28" ht="14.45" customHeight="1" x14ac:dyDescent="0.2">
      <c r="C149" s="240"/>
      <c r="D149" s="221"/>
      <c r="E149" s="221"/>
      <c r="F149" s="221"/>
      <c r="G149" s="221"/>
      <c r="H149" s="221"/>
      <c r="I149" s="278"/>
      <c r="J149" s="484" t="s">
        <v>252</v>
      </c>
      <c r="K149" s="485"/>
      <c r="L149" s="485"/>
      <c r="M149" s="485"/>
      <c r="N149" s="485"/>
      <c r="O149" s="485"/>
      <c r="P149" s="485"/>
      <c r="X149">
        <v>1</v>
      </c>
      <c r="Y149" s="126" t="s">
        <v>258</v>
      </c>
      <c r="Z149" s="21">
        <f t="shared" ref="Z149:Z156" si="3">AB88</f>
        <v>5.7830000000000004</v>
      </c>
      <c r="AA149" s="126"/>
    </row>
    <row r="150" spans="3:28" ht="15" x14ac:dyDescent="0.2">
      <c r="C150" s="240"/>
      <c r="D150" s="221"/>
      <c r="E150" s="221"/>
      <c r="F150" s="355" t="str">
        <f>IF($G$95="","",'Avaliação Física 4'!AO30)</f>
        <v/>
      </c>
      <c r="G150" s="355"/>
      <c r="H150" s="355"/>
      <c r="I150" s="278"/>
      <c r="J150" s="484"/>
      <c r="K150" s="485"/>
      <c r="L150" s="485"/>
      <c r="M150" s="485"/>
      <c r="N150" s="485"/>
      <c r="O150" s="485"/>
      <c r="P150" s="485"/>
      <c r="S150" s="126"/>
      <c r="T150" s="126" t="s">
        <v>382</v>
      </c>
      <c r="X150">
        <v>2</v>
      </c>
      <c r="Y150" s="126" t="s">
        <v>372</v>
      </c>
      <c r="Z150" s="21" t="e">
        <f t="shared" si="3"/>
        <v>#VALUE!</v>
      </c>
      <c r="AA150" s="126"/>
    </row>
    <row r="151" spans="3:28" ht="15" x14ac:dyDescent="0.2">
      <c r="C151" s="240"/>
      <c r="D151" s="221"/>
      <c r="E151" s="221"/>
      <c r="F151" s="355" t="str">
        <f>IF($G$95="","",'Avaliação Física 4'!AO31)</f>
        <v/>
      </c>
      <c r="G151" s="355"/>
      <c r="H151" s="355"/>
      <c r="I151" s="278"/>
      <c r="J151" s="484"/>
      <c r="K151" s="485"/>
      <c r="L151" s="485"/>
      <c r="M151" s="485"/>
      <c r="N151" s="485"/>
      <c r="O151" s="485"/>
      <c r="P151" s="485"/>
      <c r="S151" s="75" t="s">
        <v>361</v>
      </c>
      <c r="T151" s="213" t="str">
        <f>F99</f>
        <v>-</v>
      </c>
      <c r="X151">
        <v>3</v>
      </c>
      <c r="Y151" s="126" t="s">
        <v>373</v>
      </c>
      <c r="Z151" s="21" t="e">
        <f t="shared" si="3"/>
        <v>#VALUE!</v>
      </c>
      <c r="AA151" s="126"/>
      <c r="AB151" t="e">
        <f>VLOOKUP($E$75,tbGC6912[nome],1,FALSE)</f>
        <v>#N/A</v>
      </c>
    </row>
    <row r="152" spans="3:28" ht="15" x14ac:dyDescent="0.2">
      <c r="C152" s="240"/>
      <c r="D152" s="221"/>
      <c r="E152" s="221"/>
      <c r="F152" s="355" t="str">
        <f>IF($G$95="","",'Avaliação Física 4'!AO32)</f>
        <v/>
      </c>
      <c r="G152" s="355"/>
      <c r="H152" s="355"/>
      <c r="I152" s="278"/>
      <c r="J152" s="484"/>
      <c r="K152" s="485"/>
      <c r="L152" s="485"/>
      <c r="M152" s="485"/>
      <c r="N152" s="485"/>
      <c r="O152" s="485"/>
      <c r="P152" s="485"/>
      <c r="S152" s="75" t="s">
        <v>363</v>
      </c>
      <c r="T152" s="213" t="str">
        <f t="shared" ref="T152" si="4">F101</f>
        <v>-</v>
      </c>
      <c r="X152">
        <v>4</v>
      </c>
      <c r="Y152" s="126" t="s">
        <v>265</v>
      </c>
      <c r="Z152" s="21" t="e">
        <f t="shared" si="3"/>
        <v>#NUM!</v>
      </c>
      <c r="AA152" s="126"/>
    </row>
    <row r="153" spans="3:28" ht="15" x14ac:dyDescent="0.2">
      <c r="C153" s="240"/>
      <c r="D153" s="221"/>
      <c r="E153" s="221"/>
      <c r="F153" s="355" t="str">
        <f>IF($G$95="","",'Avaliação Física 4'!AO33)</f>
        <v/>
      </c>
      <c r="G153" s="355"/>
      <c r="H153" s="355"/>
      <c r="I153" s="278"/>
      <c r="J153" s="484"/>
      <c r="K153" s="485"/>
      <c r="L153" s="485"/>
      <c r="M153" s="485"/>
      <c r="N153" s="485"/>
      <c r="O153" s="485"/>
      <c r="P153" s="485"/>
      <c r="S153" s="75" t="s">
        <v>364</v>
      </c>
      <c r="T153" s="213" t="str">
        <f>J98</f>
        <v>-</v>
      </c>
      <c r="X153">
        <v>5</v>
      </c>
      <c r="Y153" s="126" t="s">
        <v>374</v>
      </c>
      <c r="Z153" s="21">
        <f t="shared" si="3"/>
        <v>1</v>
      </c>
    </row>
    <row r="154" spans="3:28" ht="15" x14ac:dyDescent="0.2">
      <c r="C154" s="240"/>
      <c r="D154" s="221"/>
      <c r="E154" s="221"/>
      <c r="F154" s="355" t="str">
        <f>IF($G$95="","",'Avaliação Física 4'!AO34)</f>
        <v/>
      </c>
      <c r="G154" s="355"/>
      <c r="H154" s="355"/>
      <c r="I154" s="278"/>
      <c r="J154" s="484"/>
      <c r="K154" s="485"/>
      <c r="L154" s="485"/>
      <c r="M154" s="485"/>
      <c r="N154" s="485"/>
      <c r="O154" s="485"/>
      <c r="P154" s="485"/>
      <c r="S154" s="75" t="s">
        <v>365</v>
      </c>
      <c r="T154" s="213" t="str">
        <f>J99</f>
        <v>-</v>
      </c>
      <c r="X154">
        <v>6</v>
      </c>
      <c r="Y154" s="126" t="s">
        <v>375</v>
      </c>
      <c r="Z154" s="21" t="e">
        <f t="shared" si="3"/>
        <v>#VALUE!</v>
      </c>
    </row>
    <row r="155" spans="3:28" ht="15" x14ac:dyDescent="0.2">
      <c r="C155" s="240"/>
      <c r="D155" s="221"/>
      <c r="E155" s="221"/>
      <c r="F155" s="355" t="str">
        <f>IF($G$95="","",'Avaliação Física 4'!AO35)</f>
        <v/>
      </c>
      <c r="G155" s="355"/>
      <c r="H155" s="355"/>
      <c r="I155" s="278"/>
      <c r="J155" s="484"/>
      <c r="K155" s="485"/>
      <c r="L155" s="485"/>
      <c r="M155" s="485"/>
      <c r="N155" s="485"/>
      <c r="O155" s="485"/>
      <c r="P155" s="485"/>
      <c r="X155">
        <v>7</v>
      </c>
      <c r="Y155" s="126" t="s">
        <v>376</v>
      </c>
      <c r="Z155" s="21">
        <f t="shared" si="3"/>
        <v>10.833600000000001</v>
      </c>
    </row>
    <row r="156" spans="3:28" ht="15" x14ac:dyDescent="0.2">
      <c r="C156" s="240"/>
      <c r="D156" s="221"/>
      <c r="E156" s="221"/>
      <c r="F156" s="355" t="str">
        <f>IF($G$95="","",'Avaliação Física 4'!AO36)</f>
        <v/>
      </c>
      <c r="G156" s="355"/>
      <c r="H156" s="355"/>
      <c r="I156" s="278"/>
      <c r="J156" s="484"/>
      <c r="K156" s="485"/>
      <c r="L156" s="485"/>
      <c r="M156" s="485"/>
      <c r="N156" s="485"/>
      <c r="O156" s="485"/>
      <c r="P156" s="485"/>
      <c r="X156">
        <v>8</v>
      </c>
      <c r="Y156" s="126" t="s">
        <v>384</v>
      </c>
      <c r="Z156" s="21" t="e">
        <f t="shared" si="3"/>
        <v>#NUM!</v>
      </c>
      <c r="AB156" s="21" t="e">
        <f>VLOOKUP($E$75,tbGC6912[[nome]:[resultado]],2,FALSE)</f>
        <v>#N/A</v>
      </c>
    </row>
    <row r="157" spans="3:28" ht="15" x14ac:dyDescent="0.2">
      <c r="C157" s="240"/>
      <c r="D157" s="221"/>
      <c r="E157" s="221"/>
      <c r="F157" s="355" t="str">
        <f>IF($G$95="","",'Avaliação Física 4'!AO37)</f>
        <v/>
      </c>
      <c r="G157" s="355"/>
      <c r="H157" s="355"/>
      <c r="I157" s="278"/>
      <c r="J157" s="484"/>
      <c r="K157" s="485"/>
      <c r="L157" s="485"/>
      <c r="M157" s="485"/>
      <c r="N157" s="485"/>
      <c r="O157" s="485"/>
      <c r="P157" s="485"/>
      <c r="T157" t="s">
        <v>383</v>
      </c>
      <c r="X157">
        <v>9</v>
      </c>
      <c r="Y157" s="126" t="s">
        <v>387</v>
      </c>
      <c r="Z157" s="21" t="e">
        <f>AB96</f>
        <v>#VALUE!</v>
      </c>
    </row>
    <row r="158" spans="3:28" ht="15" x14ac:dyDescent="0.2">
      <c r="C158" s="240"/>
      <c r="D158" s="221"/>
      <c r="E158" s="221"/>
      <c r="F158" s="355" t="str">
        <f>IF($G$95="","",'Avaliação Física 4'!AO38)</f>
        <v/>
      </c>
      <c r="G158" s="355"/>
      <c r="H158" s="355"/>
      <c r="I158" s="278"/>
      <c r="J158" s="484"/>
      <c r="K158" s="485"/>
      <c r="L158" s="485"/>
      <c r="M158" s="485"/>
      <c r="N158" s="485"/>
      <c r="O158" s="485"/>
      <c r="P158" s="485"/>
      <c r="S158" s="75" t="s">
        <v>381</v>
      </c>
      <c r="T158" s="266">
        <f>F72</f>
        <v>0</v>
      </c>
    </row>
    <row r="159" spans="3:28" ht="15" x14ac:dyDescent="0.2">
      <c r="C159" s="240"/>
      <c r="D159" s="221"/>
      <c r="E159" s="221"/>
      <c r="F159" s="355" t="str">
        <f>IF($G$95="","",'Avaliação Física 4'!AO39)</f>
        <v/>
      </c>
      <c r="G159" s="355"/>
      <c r="H159" s="355"/>
      <c r="I159" s="278"/>
      <c r="J159" s="484"/>
      <c r="K159" s="485"/>
      <c r="L159" s="485"/>
      <c r="M159" s="485"/>
      <c r="N159" s="485"/>
      <c r="O159" s="485"/>
      <c r="P159" s="485"/>
      <c r="S159" t="s">
        <v>120</v>
      </c>
      <c r="T159" s="265" t="str">
        <f>F98</f>
        <v>-</v>
      </c>
    </row>
    <row r="160" spans="3:28" ht="15" x14ac:dyDescent="0.2">
      <c r="C160" s="240"/>
      <c r="D160" s="221"/>
      <c r="E160" s="221"/>
      <c r="F160" s="355" t="str">
        <f>IF($G$95="","",'Avaliação Física 4'!AO40)</f>
        <v/>
      </c>
      <c r="G160" s="355"/>
      <c r="H160" s="355"/>
      <c r="I160" s="278"/>
      <c r="J160" s="484"/>
      <c r="K160" s="485"/>
      <c r="L160" s="485"/>
      <c r="M160" s="485"/>
      <c r="N160" s="485"/>
      <c r="O160" s="485"/>
      <c r="P160" s="485"/>
      <c r="S160" s="75" t="s">
        <v>362</v>
      </c>
      <c r="T160" s="266" t="str">
        <f>F100</f>
        <v>-</v>
      </c>
      <c r="AB160" t="e">
        <f>VLOOKUP($E$75,tbGC6912[[nome]:[resultado]],2,FALSE)</f>
        <v>#N/A</v>
      </c>
    </row>
    <row r="161" spans="3:153" ht="15" x14ac:dyDescent="0.2">
      <c r="C161" s="240"/>
      <c r="D161" s="221"/>
      <c r="E161" s="221"/>
      <c r="F161" s="355" t="str">
        <f>IF($G$95="","",'Avaliação Física 4'!AO41)</f>
        <v/>
      </c>
      <c r="G161" s="355"/>
      <c r="H161" s="355"/>
      <c r="I161" s="278"/>
      <c r="J161" s="484"/>
      <c r="K161" s="485"/>
      <c r="L161" s="485"/>
      <c r="M161" s="485"/>
      <c r="N161" s="485"/>
      <c r="O161" s="485"/>
      <c r="P161" s="485"/>
    </row>
    <row r="162" spans="3:153" ht="15" x14ac:dyDescent="0.2">
      <c r="C162" s="240"/>
      <c r="D162" s="221"/>
      <c r="E162" s="221"/>
      <c r="F162" s="355" t="str">
        <f>IF($G$95="","",'Avaliação Física 4'!AO42)</f>
        <v/>
      </c>
      <c r="G162" s="355"/>
      <c r="H162" s="355"/>
      <c r="I162" s="278"/>
      <c r="J162" s="484"/>
      <c r="K162" s="485"/>
      <c r="L162" s="485"/>
      <c r="M162" s="485"/>
      <c r="N162" s="485"/>
      <c r="O162" s="485"/>
      <c r="P162" s="485"/>
    </row>
    <row r="163" spans="3:153" ht="15" x14ac:dyDescent="0.2">
      <c r="C163" s="241"/>
      <c r="D163" s="279"/>
      <c r="E163" s="279"/>
      <c r="F163" s="279"/>
      <c r="G163" s="279"/>
      <c r="H163" s="279"/>
      <c r="I163" s="280"/>
      <c r="J163" s="484"/>
      <c r="K163" s="485"/>
      <c r="L163" s="485"/>
      <c r="M163" s="485"/>
      <c r="N163" s="485"/>
      <c r="O163" s="485"/>
      <c r="P163" s="485"/>
      <c r="W163" s="214" t="s">
        <v>369</v>
      </c>
    </row>
    <row r="164" spans="3:153" ht="14.45" hidden="1" customHeight="1" x14ac:dyDescent="0.2">
      <c r="C164" s="55"/>
      <c r="D164" s="56"/>
      <c r="E164" s="56"/>
      <c r="F164" s="56"/>
      <c r="G164" s="56"/>
      <c r="H164" s="56"/>
      <c r="I164" s="57"/>
      <c r="J164" s="105"/>
      <c r="K164" s="105"/>
      <c r="L164" s="105"/>
      <c r="M164" s="105"/>
      <c r="N164" s="105"/>
      <c r="O164" s="105"/>
      <c r="P164" s="105"/>
      <c r="Z164" t="s">
        <v>371</v>
      </c>
    </row>
    <row r="165" spans="3:153" ht="4.1500000000000004" customHeight="1" x14ac:dyDescent="0.2">
      <c r="J165" s="105"/>
      <c r="K165" s="105"/>
      <c r="L165" s="105"/>
      <c r="M165" s="105"/>
      <c r="N165" s="105"/>
      <c r="O165" s="105"/>
      <c r="P165" s="105"/>
    </row>
    <row r="166" spans="3:153" ht="4.1500000000000004" hidden="1" customHeight="1" x14ac:dyDescent="0.2">
      <c r="J166" s="105"/>
      <c r="K166" s="105"/>
      <c r="L166" s="105"/>
      <c r="M166" s="105"/>
      <c r="N166" s="105"/>
      <c r="O166" s="105"/>
      <c r="P166" s="105"/>
    </row>
    <row r="167" spans="3:153" ht="4.1500000000000004" hidden="1" customHeight="1" x14ac:dyDescent="0.2">
      <c r="J167" s="105"/>
      <c r="K167" s="105"/>
      <c r="L167" s="105"/>
      <c r="M167" s="105"/>
      <c r="N167" s="105"/>
      <c r="O167" s="105"/>
      <c r="P167" s="105"/>
      <c r="Z167" t="s">
        <v>371</v>
      </c>
    </row>
    <row r="168" spans="3:153" ht="15" x14ac:dyDescent="0.2">
      <c r="C168" s="362" t="s">
        <v>204</v>
      </c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W168">
        <f>IF(L9="Feminino",1.33*(F78+F77)-0.13*(F78+F77)^2-2.5,0.735*(F78+N79)+1)</f>
        <v>1</v>
      </c>
    </row>
    <row r="169" spans="3:153" ht="6" customHeight="1" x14ac:dyDescent="0.3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Z169" s="21">
        <f>((4.95/W168)-4.5)*100</f>
        <v>45.000000000000014</v>
      </c>
    </row>
    <row r="170" spans="3:153" ht="15" x14ac:dyDescent="0.2">
      <c r="C170" s="238"/>
      <c r="D170" s="357" t="s">
        <v>125</v>
      </c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02"/>
    </row>
    <row r="171" spans="3:153" ht="15" x14ac:dyDescent="0.2">
      <c r="C171" s="240"/>
      <c r="D171" s="221" t="s">
        <v>106</v>
      </c>
      <c r="E171" s="306"/>
      <c r="F171" s="221"/>
      <c r="G171" s="306"/>
      <c r="H171" s="221"/>
      <c r="I171" s="306"/>
      <c r="J171" s="221"/>
      <c r="K171" s="354" t="s">
        <v>57</v>
      </c>
      <c r="L171" s="354"/>
      <c r="M171" s="262"/>
      <c r="N171" s="354" t="s">
        <v>58</v>
      </c>
      <c r="O171" s="354"/>
      <c r="P171" s="278"/>
    </row>
    <row r="172" spans="3:153" s="5" customFormat="1" ht="7.15" customHeight="1" x14ac:dyDescent="0.2">
      <c r="C172" s="240"/>
      <c r="D172" s="221"/>
      <c r="E172" s="306"/>
      <c r="F172" s="221"/>
      <c r="G172" s="306"/>
      <c r="H172" s="221"/>
      <c r="I172" s="306"/>
      <c r="J172" s="221"/>
      <c r="K172" s="221"/>
      <c r="L172" s="221"/>
      <c r="M172" s="221"/>
      <c r="N172" s="221"/>
      <c r="O172" s="221"/>
      <c r="P172" s="278"/>
      <c r="X172"/>
      <c r="Y172"/>
      <c r="Z172"/>
      <c r="AE172" s="7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 s="79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 s="79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 s="79"/>
    </row>
    <row r="173" spans="3:153" ht="15" x14ac:dyDescent="0.2">
      <c r="C173" s="240"/>
      <c r="D173" s="221" t="s">
        <v>103</v>
      </c>
      <c r="E173" s="306"/>
      <c r="F173" s="221"/>
      <c r="G173" s="306"/>
      <c r="H173" s="221"/>
      <c r="I173" s="306"/>
      <c r="J173" s="221"/>
      <c r="K173" s="221"/>
      <c r="L173" s="221"/>
      <c r="M173" s="221"/>
      <c r="N173" s="221"/>
      <c r="O173" s="221"/>
      <c r="P173" s="278"/>
      <c r="Z173" s="5"/>
    </row>
    <row r="174" spans="3:153" s="5" customFormat="1" ht="7.15" customHeight="1" x14ac:dyDescent="0.2">
      <c r="C174" s="240"/>
      <c r="D174" s="221"/>
      <c r="E174" s="306"/>
      <c r="F174" s="221"/>
      <c r="G174" s="306"/>
      <c r="H174" s="221"/>
      <c r="I174" s="306"/>
      <c r="J174" s="221"/>
      <c r="K174" s="221"/>
      <c r="L174" s="221"/>
      <c r="M174" s="221"/>
      <c r="N174" s="221"/>
      <c r="O174" s="221"/>
      <c r="P174" s="278"/>
      <c r="X174"/>
      <c r="Y174"/>
      <c r="Z174"/>
      <c r="AE174" s="79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 s="79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 s="79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 s="79"/>
    </row>
    <row r="175" spans="3:153" ht="15" x14ac:dyDescent="0.2">
      <c r="C175" s="240"/>
      <c r="D175" s="221" t="s">
        <v>229</v>
      </c>
      <c r="E175" s="306"/>
      <c r="F175" s="221"/>
      <c r="G175" s="306"/>
      <c r="H175" s="221"/>
      <c r="I175" s="306"/>
      <c r="J175" s="221"/>
      <c r="K175" s="221"/>
      <c r="L175" s="221"/>
      <c r="M175" s="221"/>
      <c r="N175" s="221"/>
      <c r="O175" s="221"/>
      <c r="P175" s="278"/>
      <c r="W175" s="214" t="s">
        <v>370</v>
      </c>
      <c r="AA175" t="s">
        <v>371</v>
      </c>
    </row>
    <row r="176" spans="3:153" s="5" customFormat="1" ht="7.15" customHeight="1" x14ac:dyDescent="0.2">
      <c r="C176" s="240"/>
      <c r="D176" s="221"/>
      <c r="E176" s="306"/>
      <c r="F176" s="221"/>
      <c r="G176" s="306"/>
      <c r="H176" s="221"/>
      <c r="I176" s="306"/>
      <c r="J176" s="221"/>
      <c r="K176" s="221"/>
      <c r="L176" s="221"/>
      <c r="M176" s="221"/>
      <c r="N176" s="221"/>
      <c r="O176" s="221"/>
      <c r="P176" s="278"/>
      <c r="AE176" s="7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 s="79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 s="79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 s="79"/>
    </row>
    <row r="177" spans="1:153" ht="15" x14ac:dyDescent="0.2">
      <c r="C177" s="240"/>
      <c r="D177" s="221" t="s">
        <v>105</v>
      </c>
      <c r="E177" s="306"/>
      <c r="F177" s="221"/>
      <c r="G177" s="306"/>
      <c r="H177" s="221"/>
      <c r="I177" s="306"/>
      <c r="J177" s="221"/>
      <c r="K177" s="221"/>
      <c r="L177" s="221"/>
      <c r="M177" s="221"/>
      <c r="N177" s="221"/>
      <c r="O177" s="221"/>
      <c r="P177" s="278"/>
      <c r="W177" s="215" t="e">
        <f>IF(L9="Feminino",1.1567-0.0717*LOG10(F78+F79+F77+J79),1.1765 - 0.0744*LOG10(F78+F79+F77+J79))</f>
        <v>#NUM!</v>
      </c>
      <c r="AA177" s="21" t="e">
        <f>((4.95/W177)-4.5)*100</f>
        <v>#NUM!</v>
      </c>
    </row>
    <row r="178" spans="1:153" s="5" customFormat="1" ht="7.15" customHeight="1" x14ac:dyDescent="0.2">
      <c r="C178" s="240"/>
      <c r="D178" s="221"/>
      <c r="E178" s="306"/>
      <c r="F178" s="221"/>
      <c r="G178" s="306"/>
      <c r="H178" s="221"/>
      <c r="I178" s="306"/>
      <c r="J178" s="221"/>
      <c r="K178" s="221"/>
      <c r="L178" s="221"/>
      <c r="M178" s="221"/>
      <c r="N178" s="221"/>
      <c r="O178" s="221"/>
      <c r="P178" s="278"/>
      <c r="AE178" s="79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 s="79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 s="79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 s="79"/>
    </row>
    <row r="179" spans="1:153" ht="15" x14ac:dyDescent="0.2">
      <c r="C179" s="240"/>
      <c r="D179" s="221" t="s">
        <v>104</v>
      </c>
      <c r="E179" s="306"/>
      <c r="F179" s="221"/>
      <c r="G179" s="306"/>
      <c r="H179" s="221"/>
      <c r="I179" s="306"/>
      <c r="J179" s="221"/>
      <c r="K179" s="221"/>
      <c r="L179" s="221"/>
      <c r="M179" s="221"/>
      <c r="N179" s="221"/>
      <c r="O179" s="221"/>
      <c r="P179" s="278"/>
    </row>
    <row r="180" spans="1:153" s="5" customFormat="1" ht="7.15" customHeight="1" x14ac:dyDescent="0.2">
      <c r="C180" s="240"/>
      <c r="D180" s="221"/>
      <c r="E180" s="306"/>
      <c r="F180" s="221"/>
      <c r="G180" s="306"/>
      <c r="H180" s="221"/>
      <c r="I180" s="306"/>
      <c r="J180" s="221"/>
      <c r="K180" s="221"/>
      <c r="L180" s="221"/>
      <c r="M180" s="221"/>
      <c r="N180" s="221"/>
      <c r="O180" s="221"/>
      <c r="P180" s="278"/>
      <c r="AE180" s="79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 s="79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 s="79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 s="79"/>
    </row>
    <row r="181" spans="1:153" ht="15" x14ac:dyDescent="0.2">
      <c r="C181" s="240"/>
      <c r="D181" s="221" t="s">
        <v>52</v>
      </c>
      <c r="E181" s="306"/>
      <c r="F181" s="221"/>
      <c r="G181" s="306"/>
      <c r="H181" s="221"/>
      <c r="I181" s="306"/>
      <c r="J181" s="221"/>
      <c r="K181" s="221"/>
      <c r="L181" s="221"/>
      <c r="M181" s="221"/>
      <c r="N181" s="221"/>
      <c r="O181" s="221"/>
      <c r="P181" s="278"/>
      <c r="X181" s="215"/>
    </row>
    <row r="182" spans="1:153" s="5" customFormat="1" ht="7.15" customHeight="1" x14ac:dyDescent="0.2">
      <c r="C182" s="240"/>
      <c r="D182" s="221"/>
      <c r="E182" s="306"/>
      <c r="F182" s="221"/>
      <c r="G182" s="306"/>
      <c r="H182" s="221"/>
      <c r="I182" s="306"/>
      <c r="J182" s="221"/>
      <c r="K182" s="221"/>
      <c r="L182" s="221"/>
      <c r="M182" s="221"/>
      <c r="N182" s="221"/>
      <c r="O182" s="221"/>
      <c r="P182" s="278"/>
      <c r="AE182" s="7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 s="79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 s="79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 s="79"/>
    </row>
    <row r="183" spans="1:153" ht="15" x14ac:dyDescent="0.2">
      <c r="C183" s="240"/>
      <c r="D183" s="221" t="s">
        <v>107</v>
      </c>
      <c r="E183" s="306"/>
      <c r="F183" s="221"/>
      <c r="G183" s="306"/>
      <c r="H183" s="221"/>
      <c r="I183" s="306"/>
      <c r="J183" s="221"/>
      <c r="K183" s="221"/>
      <c r="L183" s="221"/>
      <c r="M183" s="221"/>
      <c r="N183" s="221"/>
      <c r="O183" s="221"/>
      <c r="P183" s="278"/>
    </row>
    <row r="184" spans="1:153" ht="7.15" customHeight="1" x14ac:dyDescent="0.2">
      <c r="C184" s="240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78"/>
      <c r="X184" s="5"/>
      <c r="Y184" s="5"/>
      <c r="Z184" s="5"/>
    </row>
    <row r="185" spans="1:153" ht="15" x14ac:dyDescent="0.2">
      <c r="C185" s="240"/>
      <c r="D185" s="221" t="s">
        <v>110</v>
      </c>
      <c r="E185" s="306"/>
      <c r="F185" s="221"/>
      <c r="G185" s="306"/>
      <c r="H185" s="221"/>
      <c r="I185" s="306"/>
      <c r="J185" s="221"/>
      <c r="K185" s="221"/>
      <c r="L185" s="221"/>
      <c r="M185" s="221"/>
      <c r="N185" s="221"/>
      <c r="O185" s="221"/>
      <c r="P185" s="278"/>
    </row>
    <row r="186" spans="1:153" ht="15" x14ac:dyDescent="0.2">
      <c r="C186" s="240"/>
      <c r="D186" s="221"/>
      <c r="E186" s="306"/>
      <c r="F186" s="221"/>
      <c r="G186" s="306"/>
      <c r="H186" s="221"/>
      <c r="I186" s="306"/>
      <c r="J186" s="221"/>
      <c r="K186" s="221"/>
      <c r="L186" s="221"/>
      <c r="M186" s="221"/>
      <c r="N186" s="221"/>
      <c r="O186" s="221"/>
      <c r="P186" s="278"/>
      <c r="X186" s="5"/>
      <c r="Y186" s="5"/>
      <c r="Z186" s="5"/>
    </row>
    <row r="187" spans="1:153" s="5" customFormat="1" ht="11.45" customHeight="1" x14ac:dyDescent="0.2">
      <c r="C187" s="240"/>
      <c r="D187" s="221"/>
      <c r="E187" s="306"/>
      <c r="F187" s="221"/>
      <c r="G187" s="306"/>
      <c r="H187" s="221"/>
      <c r="I187" s="306"/>
      <c r="J187" s="221"/>
      <c r="K187" s="221"/>
      <c r="L187" s="221"/>
      <c r="M187" s="221"/>
      <c r="N187" s="221"/>
      <c r="O187" s="221"/>
      <c r="P187" s="278"/>
      <c r="X187"/>
      <c r="Y187"/>
      <c r="Z187"/>
      <c r="AE187" s="79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 s="79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 s="79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s="79"/>
    </row>
    <row r="188" spans="1:153" ht="15" x14ac:dyDescent="0.2">
      <c r="C188" s="240"/>
      <c r="D188" s="356" t="s">
        <v>124</v>
      </c>
      <c r="E188" s="356"/>
      <c r="F188" s="356"/>
      <c r="G188" s="356"/>
      <c r="H188" s="356"/>
      <c r="I188" s="261"/>
      <c r="J188" s="356" t="s">
        <v>123</v>
      </c>
      <c r="K188" s="356"/>
      <c r="L188" s="356"/>
      <c r="M188" s="356"/>
      <c r="N188" s="356"/>
      <c r="O188" s="356"/>
      <c r="P188" s="303"/>
    </row>
    <row r="189" spans="1:153" ht="15" x14ac:dyDescent="0.2">
      <c r="A189" s="227"/>
      <c r="B189" s="227"/>
      <c r="C189" s="240"/>
      <c r="D189" s="221" t="s">
        <v>50</v>
      </c>
      <c r="E189" s="306"/>
      <c r="F189" s="221"/>
      <c r="G189" s="306"/>
      <c r="H189" s="221"/>
      <c r="I189" s="306"/>
      <c r="J189" s="221" t="s">
        <v>379</v>
      </c>
      <c r="K189" s="306"/>
      <c r="L189" s="221"/>
      <c r="M189" s="221"/>
      <c r="N189" s="355"/>
      <c r="O189" s="355"/>
      <c r="P189" s="278"/>
    </row>
    <row r="190" spans="1:153" s="5" customFormat="1" ht="14.45" customHeight="1" x14ac:dyDescent="0.2">
      <c r="A190" s="227"/>
      <c r="B190" s="227"/>
      <c r="C190" s="240"/>
      <c r="D190" s="221"/>
      <c r="E190" s="306"/>
      <c r="F190" s="221"/>
      <c r="G190" s="306"/>
      <c r="H190" s="221"/>
      <c r="I190" s="306"/>
      <c r="J190" s="221"/>
      <c r="K190" s="306"/>
      <c r="L190" s="221"/>
      <c r="M190" s="221"/>
      <c r="N190" s="221"/>
      <c r="O190" s="221"/>
      <c r="P190" s="278"/>
      <c r="X190"/>
      <c r="Y190"/>
      <c r="Z190"/>
      <c r="AE190" s="79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 s="79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 s="79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 s="79"/>
    </row>
    <row r="191" spans="1:153" ht="15" x14ac:dyDescent="0.2">
      <c r="A191" s="227"/>
      <c r="B191" s="227"/>
      <c r="C191" s="240"/>
      <c r="D191" s="221"/>
      <c r="E191" s="306"/>
      <c r="F191" s="221"/>
      <c r="G191" s="306"/>
      <c r="H191" s="221"/>
      <c r="I191" s="306"/>
      <c r="J191" s="221"/>
      <c r="K191" s="306"/>
      <c r="L191" s="221"/>
      <c r="M191" s="221"/>
      <c r="N191" s="221"/>
      <c r="O191" s="221"/>
      <c r="P191" s="278"/>
      <c r="X191" s="5"/>
      <c r="Y191" s="5"/>
      <c r="Z191" s="5"/>
    </row>
    <row r="192" spans="1:153" s="5" customFormat="1" ht="7.15" customHeight="1" x14ac:dyDescent="0.2">
      <c r="A192" s="227"/>
      <c r="B192" s="227"/>
      <c r="C192" s="240"/>
      <c r="D192" s="221"/>
      <c r="E192" s="306"/>
      <c r="F192" s="221"/>
      <c r="G192" s="306"/>
      <c r="H192" s="221"/>
      <c r="I192" s="306"/>
      <c r="J192" s="221"/>
      <c r="K192" s="221"/>
      <c r="L192" s="221"/>
      <c r="M192" s="221"/>
      <c r="N192" s="221"/>
      <c r="O192" s="221"/>
      <c r="P192" s="278"/>
      <c r="X192"/>
      <c r="Y192"/>
      <c r="Z192"/>
      <c r="AE192" s="79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 s="79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 s="79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s="79"/>
    </row>
    <row r="193" spans="1:153" ht="15" x14ac:dyDescent="0.2">
      <c r="A193" s="227"/>
      <c r="B193" s="227"/>
      <c r="C193" s="240"/>
      <c r="D193" s="221" t="s">
        <v>109</v>
      </c>
      <c r="E193" s="221"/>
      <c r="F193" s="221"/>
      <c r="G193" s="306"/>
      <c r="H193" s="221"/>
      <c r="I193" s="306"/>
      <c r="J193" s="221" t="s">
        <v>114</v>
      </c>
      <c r="K193" s="221"/>
      <c r="L193" s="221"/>
      <c r="M193" s="221"/>
      <c r="N193" s="221"/>
      <c r="O193" s="221"/>
      <c r="P193" s="278"/>
    </row>
    <row r="194" spans="1:153" ht="15" x14ac:dyDescent="0.2">
      <c r="A194" s="227"/>
      <c r="B194" s="227"/>
      <c r="C194" s="240"/>
      <c r="D194" s="221"/>
      <c r="E194" s="306"/>
      <c r="F194" s="221"/>
      <c r="G194" s="306"/>
      <c r="H194" s="221"/>
      <c r="I194" s="306"/>
      <c r="J194" s="221"/>
      <c r="K194" s="221"/>
      <c r="L194" s="221"/>
      <c r="M194" s="221"/>
      <c r="N194" s="221"/>
      <c r="O194" s="221"/>
      <c r="P194" s="278"/>
      <c r="X194" s="5"/>
      <c r="Y194" s="5"/>
      <c r="Z194" s="5"/>
    </row>
    <row r="195" spans="1:153" s="5" customFormat="1" ht="14.45" customHeight="1" x14ac:dyDescent="0.2">
      <c r="A195" s="227"/>
      <c r="B195" s="227"/>
      <c r="C195" s="240"/>
      <c r="D195" s="221"/>
      <c r="E195" s="221"/>
      <c r="F195" s="221"/>
      <c r="G195" s="306"/>
      <c r="H195" s="221"/>
      <c r="I195" s="306"/>
      <c r="J195" s="221"/>
      <c r="K195" s="221"/>
      <c r="L195" s="221"/>
      <c r="M195" s="221"/>
      <c r="N195" s="221"/>
      <c r="O195" s="221"/>
      <c r="P195" s="278"/>
      <c r="X195"/>
      <c r="Y195"/>
      <c r="Z195"/>
      <c r="AE195" s="79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 s="79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 s="79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s="79"/>
    </row>
    <row r="196" spans="1:153" ht="14.45" customHeight="1" x14ac:dyDescent="0.2">
      <c r="A196" s="227"/>
      <c r="B196" s="227"/>
      <c r="C196" s="240"/>
      <c r="D196" s="221"/>
      <c r="E196" s="221"/>
      <c r="F196" s="221"/>
      <c r="G196" s="306"/>
      <c r="H196" s="221"/>
      <c r="I196" s="306"/>
      <c r="J196" s="221"/>
      <c r="K196" s="221"/>
      <c r="L196" s="221"/>
      <c r="M196" s="221"/>
      <c r="N196" s="221"/>
      <c r="O196" s="221"/>
      <c r="P196" s="278"/>
      <c r="X196" s="5"/>
      <c r="Y196" s="5"/>
      <c r="Z196" s="5"/>
    </row>
    <row r="197" spans="1:153" s="5" customFormat="1" ht="7.15" customHeight="1" x14ac:dyDescent="0.2">
      <c r="A197" s="227"/>
      <c r="B197" s="227"/>
      <c r="C197" s="240"/>
      <c r="D197" s="221"/>
      <c r="E197" s="306"/>
      <c r="F197" s="221"/>
      <c r="G197" s="306"/>
      <c r="H197" s="221"/>
      <c r="I197" s="306"/>
      <c r="J197" s="221"/>
      <c r="K197" s="221"/>
      <c r="L197" s="221"/>
      <c r="M197" s="221"/>
      <c r="N197" s="221"/>
      <c r="O197" s="221"/>
      <c r="P197" s="278"/>
      <c r="X197"/>
      <c r="Y197"/>
      <c r="Z197"/>
      <c r="AE197" s="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 s="79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 s="79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s="79"/>
    </row>
    <row r="198" spans="1:153" ht="15" x14ac:dyDescent="0.2">
      <c r="C198" s="240"/>
      <c r="D198" s="221" t="s">
        <v>108</v>
      </c>
      <c r="E198" s="221"/>
      <c r="F198" s="221"/>
      <c r="G198" s="306"/>
      <c r="H198" s="221"/>
      <c r="I198" s="306"/>
      <c r="J198" s="221" t="s">
        <v>112</v>
      </c>
      <c r="K198" s="221"/>
      <c r="L198" s="221"/>
      <c r="M198" s="221"/>
      <c r="N198" s="221"/>
      <c r="O198" s="221"/>
      <c r="P198" s="278"/>
    </row>
    <row r="199" spans="1:153" ht="14.45" customHeight="1" x14ac:dyDescent="0.2">
      <c r="C199" s="240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78"/>
      <c r="X199" s="5"/>
      <c r="Y199" s="5"/>
      <c r="Z199" s="5"/>
    </row>
    <row r="200" spans="1:153" ht="15" x14ac:dyDescent="0.2">
      <c r="C200" s="240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78"/>
    </row>
    <row r="201" spans="1:153" ht="7.15" customHeight="1" x14ac:dyDescent="0.2">
      <c r="C201" s="240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78"/>
      <c r="X201" s="5"/>
      <c r="Y201" s="5"/>
      <c r="Z201" s="5"/>
    </row>
    <row r="202" spans="1:153" ht="15" hidden="1" x14ac:dyDescent="0.2">
      <c r="C202" s="240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78"/>
    </row>
    <row r="203" spans="1:153" ht="7.15" hidden="1" customHeight="1" x14ac:dyDescent="0.2">
      <c r="C203" s="240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78"/>
    </row>
    <row r="204" spans="1:153" ht="15" x14ac:dyDescent="0.2">
      <c r="C204" s="240"/>
      <c r="D204" s="221" t="s">
        <v>115</v>
      </c>
      <c r="E204" s="221"/>
      <c r="F204" s="221"/>
      <c r="G204" s="221"/>
      <c r="H204" s="221"/>
      <c r="I204" s="221"/>
      <c r="J204" s="221" t="s">
        <v>113</v>
      </c>
      <c r="K204" s="221"/>
      <c r="L204" s="221"/>
      <c r="M204" s="221"/>
      <c r="N204" s="221"/>
      <c r="O204" s="221"/>
      <c r="P204" s="278"/>
    </row>
    <row r="205" spans="1:153" ht="15" x14ac:dyDescent="0.2">
      <c r="B205" s="227"/>
      <c r="C205" s="240"/>
      <c r="D205" s="221"/>
      <c r="E205" s="306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78"/>
    </row>
    <row r="206" spans="1:153" ht="14.45" customHeight="1" x14ac:dyDescent="0.2">
      <c r="C206" s="240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78"/>
    </row>
    <row r="207" spans="1:153" ht="7.15" customHeight="1" x14ac:dyDescent="0.2">
      <c r="C207" s="240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303"/>
    </row>
    <row r="208" spans="1:153" ht="15" x14ac:dyDescent="0.2">
      <c r="A208" s="227"/>
      <c r="B208" s="227"/>
      <c r="C208" s="240"/>
      <c r="D208" s="221" t="s">
        <v>111</v>
      </c>
      <c r="E208" s="306"/>
      <c r="F208" s="221"/>
      <c r="G208" s="306"/>
      <c r="H208" s="221"/>
      <c r="I208" s="306"/>
      <c r="J208" s="221"/>
      <c r="K208" s="221"/>
      <c r="L208" s="221"/>
      <c r="M208" s="221"/>
      <c r="N208" s="221"/>
      <c r="O208" s="221"/>
      <c r="P208" s="278"/>
    </row>
    <row r="209" spans="1:153" s="5" customFormat="1" ht="14.45" customHeight="1" x14ac:dyDescent="0.2">
      <c r="A209" s="227"/>
      <c r="B209" s="227"/>
      <c r="C209" s="240"/>
      <c r="D209" s="221"/>
      <c r="E209" s="306"/>
      <c r="F209" s="221"/>
      <c r="G209" s="306"/>
      <c r="H209" s="221"/>
      <c r="I209" s="306"/>
      <c r="J209" s="221"/>
      <c r="K209" s="221"/>
      <c r="L209" s="221"/>
      <c r="M209" s="221"/>
      <c r="N209" s="221"/>
      <c r="O209" s="221"/>
      <c r="P209" s="278"/>
      <c r="X209"/>
      <c r="Y209"/>
      <c r="Z209"/>
      <c r="AE209" s="7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 s="7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 s="7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 s="79"/>
    </row>
    <row r="210" spans="1:153" ht="7.15" customHeight="1" x14ac:dyDescent="0.2">
      <c r="A210" s="227"/>
      <c r="B210" s="227"/>
      <c r="C210" s="240"/>
      <c r="D210" s="221"/>
      <c r="E210" s="306"/>
      <c r="F210" s="221"/>
      <c r="G210" s="306"/>
      <c r="H210" s="221"/>
      <c r="I210" s="306"/>
      <c r="J210" s="221"/>
      <c r="K210" s="221"/>
      <c r="L210" s="221"/>
      <c r="M210" s="221"/>
      <c r="N210" s="221"/>
      <c r="O210" s="221"/>
      <c r="P210" s="278"/>
    </row>
    <row r="211" spans="1:153" s="5" customFormat="1" ht="14.45" customHeight="1" x14ac:dyDescent="0.2">
      <c r="A211" s="227"/>
      <c r="B211" s="227"/>
      <c r="C211" s="240"/>
      <c r="D211" s="221" t="s">
        <v>110</v>
      </c>
      <c r="E211" s="221"/>
      <c r="F211" s="221"/>
      <c r="G211" s="221"/>
      <c r="H211" s="221"/>
      <c r="I211" s="306"/>
      <c r="J211" s="221"/>
      <c r="K211" s="221"/>
      <c r="L211" s="221"/>
      <c r="M211" s="221"/>
      <c r="N211" s="221"/>
      <c r="O211" s="221"/>
      <c r="P211" s="278"/>
      <c r="X211"/>
      <c r="Y211"/>
      <c r="Z211"/>
      <c r="AE211" s="79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 s="79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 s="79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s="79"/>
    </row>
    <row r="212" spans="1:153" ht="15" x14ac:dyDescent="0.2">
      <c r="A212" s="227"/>
      <c r="B212" s="227"/>
      <c r="C212" s="240"/>
      <c r="D212" s="221"/>
      <c r="E212" s="221"/>
      <c r="F212" s="221"/>
      <c r="G212" s="221"/>
      <c r="H212" s="221"/>
      <c r="I212" s="306"/>
      <c r="J212" s="221"/>
      <c r="K212" s="221"/>
      <c r="L212" s="221"/>
      <c r="M212" s="221"/>
      <c r="N212" s="221"/>
      <c r="O212" s="221"/>
      <c r="P212" s="278"/>
    </row>
    <row r="213" spans="1:153" s="5" customFormat="1" ht="7.15" customHeight="1" x14ac:dyDescent="0.2">
      <c r="A213" s="227"/>
      <c r="B213" s="227"/>
      <c r="C213" s="241"/>
      <c r="D213" s="279"/>
      <c r="E213" s="304"/>
      <c r="F213" s="279"/>
      <c r="G213" s="304"/>
      <c r="H213" s="279"/>
      <c r="I213" s="304"/>
      <c r="J213" s="279"/>
      <c r="K213" s="279"/>
      <c r="L213" s="279"/>
      <c r="M213" s="279"/>
      <c r="N213" s="279"/>
      <c r="O213" s="279"/>
      <c r="P213" s="280"/>
      <c r="AE213" s="79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 s="79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 s="79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 s="79"/>
    </row>
    <row r="214" spans="1:153" ht="15" x14ac:dyDescent="0.2">
      <c r="A214" s="227"/>
      <c r="B214" s="227"/>
      <c r="C214" s="120"/>
      <c r="D214" s="106"/>
      <c r="E214" s="106"/>
      <c r="F214" s="106"/>
      <c r="G214" s="106"/>
      <c r="H214" s="106"/>
      <c r="I214" s="309"/>
      <c r="J214" s="106"/>
      <c r="K214" s="106"/>
      <c r="L214" s="106"/>
      <c r="M214" s="106"/>
      <c r="N214" s="106"/>
      <c r="O214" s="106"/>
      <c r="P214" s="106"/>
    </row>
    <row r="215" spans="1:153" ht="15" hidden="1" x14ac:dyDescent="0.2"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X215" s="5"/>
      <c r="Y215" s="5"/>
      <c r="Z215" s="5"/>
    </row>
    <row r="216" spans="1:153" ht="15" hidden="1" x14ac:dyDescent="0.2"/>
    <row r="217" spans="1:153" ht="15" x14ac:dyDescent="0.2">
      <c r="C217" s="362" t="s">
        <v>378</v>
      </c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X217" s="5"/>
      <c r="Y217" s="5"/>
      <c r="Z217" s="5"/>
    </row>
    <row r="218" spans="1:153" ht="14.45" customHeight="1" x14ac:dyDescent="0.2"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44"/>
      <c r="N218" s="219"/>
      <c r="O218" s="219"/>
      <c r="P218" s="219"/>
    </row>
    <row r="219" spans="1:153" ht="15" customHeight="1" x14ac:dyDescent="0.2">
      <c r="C219" s="219"/>
      <c r="D219" s="219"/>
      <c r="E219" s="219"/>
      <c r="F219" s="373">
        <v>1</v>
      </c>
      <c r="G219" s="373"/>
      <c r="H219" s="373">
        <v>2</v>
      </c>
      <c r="I219" s="373"/>
      <c r="J219" s="373">
        <v>3</v>
      </c>
      <c r="K219" s="373"/>
      <c r="L219" s="373">
        <v>4</v>
      </c>
      <c r="M219" s="373"/>
      <c r="N219" s="245" t="s">
        <v>67</v>
      </c>
      <c r="O219" s="219"/>
      <c r="P219" s="219"/>
    </row>
    <row r="220" spans="1:153" ht="15" x14ac:dyDescent="0.2">
      <c r="C220" s="364" t="s">
        <v>69</v>
      </c>
      <c r="D220" s="365"/>
      <c r="E220" s="366"/>
      <c r="F220" s="281"/>
      <c r="G220" s="276"/>
      <c r="H220" s="276"/>
      <c r="I220" s="276"/>
      <c r="J220" s="276"/>
      <c r="K220" s="276"/>
      <c r="L220" s="276"/>
      <c r="M220" s="417"/>
      <c r="N220" s="438"/>
      <c r="O220" s="219"/>
      <c r="P220" s="219"/>
    </row>
    <row r="221" spans="1:153" ht="15" x14ac:dyDescent="0.2">
      <c r="C221" s="367"/>
      <c r="D221" s="368"/>
      <c r="E221" s="369"/>
      <c r="F221" s="247"/>
      <c r="G221" s="221"/>
      <c r="H221" s="221"/>
      <c r="I221" s="221"/>
      <c r="J221" s="221"/>
      <c r="K221" s="221"/>
      <c r="L221" s="221"/>
      <c r="M221" s="363"/>
      <c r="N221" s="439"/>
      <c r="O221" s="219"/>
      <c r="P221" s="219"/>
    </row>
    <row r="222" spans="1:153" ht="15.75" thickBot="1" x14ac:dyDescent="0.25">
      <c r="C222" s="370"/>
      <c r="D222" s="371"/>
      <c r="E222" s="372"/>
      <c r="F222" s="248"/>
      <c r="G222" s="221"/>
      <c r="H222" s="221"/>
      <c r="I222" s="221"/>
      <c r="J222" s="221"/>
      <c r="K222" s="221"/>
      <c r="L222" s="221"/>
      <c r="M222" s="363"/>
      <c r="N222" s="440"/>
      <c r="O222" s="219"/>
      <c r="P222" s="219"/>
    </row>
    <row r="223" spans="1:153" ht="15" x14ac:dyDescent="0.2">
      <c r="C223" s="364" t="s">
        <v>68</v>
      </c>
      <c r="D223" s="365"/>
      <c r="E223" s="366"/>
      <c r="F223" s="246"/>
      <c r="G223" s="221"/>
      <c r="H223" s="221"/>
      <c r="I223" s="221"/>
      <c r="J223" s="221"/>
      <c r="K223" s="221"/>
      <c r="L223" s="221"/>
      <c r="M223" s="363"/>
      <c r="N223" s="438"/>
      <c r="O223" s="219"/>
      <c r="P223" s="219"/>
    </row>
    <row r="224" spans="1:153" ht="15.75" thickBot="1" x14ac:dyDescent="0.25">
      <c r="C224" s="367"/>
      <c r="D224" s="368"/>
      <c r="E224" s="369"/>
      <c r="F224" s="247"/>
      <c r="G224" s="221"/>
      <c r="H224" s="221"/>
      <c r="I224" s="221"/>
      <c r="J224" s="221"/>
      <c r="K224" s="221"/>
      <c r="L224" s="221"/>
      <c r="M224" s="363"/>
      <c r="N224" s="439"/>
      <c r="O224" s="219"/>
      <c r="P224" s="219"/>
    </row>
    <row r="225" spans="3:71" ht="15.75" thickBot="1" x14ac:dyDescent="0.25">
      <c r="C225" s="370"/>
      <c r="D225" s="371"/>
      <c r="E225" s="372"/>
      <c r="F225" s="248"/>
      <c r="G225" s="221"/>
      <c r="H225" s="221"/>
      <c r="I225" s="221"/>
      <c r="J225" s="221"/>
      <c r="K225" s="221"/>
      <c r="L225" s="221"/>
      <c r="M225" s="363"/>
      <c r="N225" s="440"/>
      <c r="O225" s="219"/>
      <c r="P225" s="219"/>
      <c r="AJ225" s="401" t="s">
        <v>278</v>
      </c>
      <c r="AK225" s="402"/>
      <c r="AL225" s="402"/>
      <c r="AM225" s="402"/>
      <c r="AN225" s="402"/>
      <c r="AO225" s="402"/>
      <c r="AP225" s="402"/>
      <c r="AQ225" s="402"/>
      <c r="AR225" s="402"/>
      <c r="AS225" s="402"/>
      <c r="AT225" s="402"/>
      <c r="AU225" s="402"/>
      <c r="AV225" s="402"/>
      <c r="AW225" s="402"/>
      <c r="AX225" s="402"/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3"/>
    </row>
    <row r="226" spans="3:71" ht="15.75" thickBot="1" x14ac:dyDescent="0.25">
      <c r="C226" s="364" t="s">
        <v>70</v>
      </c>
      <c r="D226" s="365"/>
      <c r="E226" s="366"/>
      <c r="F226" s="246"/>
      <c r="G226" s="221"/>
      <c r="H226" s="221"/>
      <c r="I226" s="221"/>
      <c r="J226" s="221"/>
      <c r="K226" s="221"/>
      <c r="L226" s="221"/>
      <c r="M226" s="363"/>
      <c r="N226" s="438"/>
      <c r="O226" s="219"/>
      <c r="P226" s="219"/>
      <c r="AJ226" s="401" t="s">
        <v>279</v>
      </c>
      <c r="AK226" s="402"/>
      <c r="AL226" s="402"/>
      <c r="AM226" s="402"/>
      <c r="AN226" s="402"/>
      <c r="AO226" s="402"/>
      <c r="AP226" s="402" t="s">
        <v>280</v>
      </c>
      <c r="AQ226" s="402"/>
      <c r="AR226" s="402"/>
      <c r="AS226" s="402"/>
      <c r="AT226" s="402"/>
      <c r="AU226" s="192" t="s">
        <v>281</v>
      </c>
      <c r="AV226" s="192"/>
      <c r="AW226" s="192"/>
      <c r="AX226" s="192"/>
      <c r="AY226" s="192"/>
      <c r="AZ226" s="192" t="s">
        <v>282</v>
      </c>
      <c r="BA226" s="192"/>
      <c r="BB226" s="192"/>
      <c r="BC226" s="192"/>
      <c r="BD226" s="192"/>
      <c r="BE226" s="192" t="s">
        <v>283</v>
      </c>
      <c r="BF226" s="192"/>
      <c r="BG226" s="192"/>
      <c r="BH226" s="192"/>
      <c r="BI226" s="192"/>
      <c r="BJ226" s="192" t="s">
        <v>284</v>
      </c>
      <c r="BK226" s="192"/>
      <c r="BL226" s="192"/>
      <c r="BM226" s="192"/>
      <c r="BN226" s="192"/>
      <c r="BO226" s="192" t="s">
        <v>285</v>
      </c>
      <c r="BP226" s="192"/>
      <c r="BQ226" s="192"/>
      <c r="BR226" s="192"/>
      <c r="BS226" s="193"/>
    </row>
    <row r="227" spans="3:71" ht="15" x14ac:dyDescent="0.2">
      <c r="C227" s="367"/>
      <c r="D227" s="368"/>
      <c r="E227" s="369"/>
      <c r="F227" s="247"/>
      <c r="G227" s="221"/>
      <c r="H227" s="221"/>
      <c r="I227" s="221"/>
      <c r="J227" s="221"/>
      <c r="K227" s="221"/>
      <c r="L227" s="221"/>
      <c r="M227" s="363"/>
      <c r="N227" s="439"/>
      <c r="O227" s="219"/>
      <c r="P227" s="219"/>
      <c r="AJ227" s="180" t="s">
        <v>141</v>
      </c>
      <c r="AK227" s="181"/>
      <c r="AL227" s="181"/>
      <c r="AM227" s="181"/>
      <c r="AN227" s="181"/>
      <c r="AO227" s="181"/>
      <c r="AP227" s="181" t="s">
        <v>286</v>
      </c>
      <c r="AQ227" s="181"/>
      <c r="AR227" s="181"/>
      <c r="AS227" s="181"/>
      <c r="AT227" s="181"/>
      <c r="AU227" s="181" t="s">
        <v>287</v>
      </c>
      <c r="AV227" s="181"/>
      <c r="AW227" s="181"/>
      <c r="AX227" s="181"/>
      <c r="AY227" s="181"/>
      <c r="AZ227" s="181" t="s">
        <v>288</v>
      </c>
      <c r="BA227" s="181"/>
      <c r="BB227" s="181"/>
      <c r="BC227" s="181"/>
      <c r="BD227" s="181"/>
      <c r="BE227" s="181" t="s">
        <v>289</v>
      </c>
      <c r="BF227" s="181"/>
      <c r="BG227" s="181"/>
      <c r="BH227" s="181"/>
      <c r="BI227" s="181"/>
      <c r="BJ227" s="181" t="s">
        <v>290</v>
      </c>
      <c r="BK227" s="181"/>
      <c r="BL227" s="181"/>
      <c r="BM227" s="181"/>
      <c r="BN227" s="181"/>
      <c r="BO227" s="181" t="s">
        <v>291</v>
      </c>
      <c r="BP227" s="181"/>
      <c r="BQ227" s="181"/>
      <c r="BR227" s="181"/>
      <c r="BS227" s="191"/>
    </row>
    <row r="228" spans="3:71" ht="15.75" thickBot="1" x14ac:dyDescent="0.25">
      <c r="C228" s="370"/>
      <c r="D228" s="371"/>
      <c r="E228" s="372"/>
      <c r="F228" s="248"/>
      <c r="G228" s="221"/>
      <c r="H228" s="221"/>
      <c r="I228" s="221"/>
      <c r="J228" s="221"/>
      <c r="K228" s="221"/>
      <c r="L228" s="221"/>
      <c r="M228" s="363"/>
      <c r="N228" s="440"/>
      <c r="O228" s="219"/>
      <c r="P228" s="219"/>
      <c r="AJ228" s="182" t="s">
        <v>140</v>
      </c>
      <c r="AK228" s="123"/>
      <c r="AL228" s="123"/>
      <c r="AM228" s="123"/>
      <c r="AN228" s="123"/>
      <c r="AO228" s="123"/>
      <c r="AP228" s="123" t="s">
        <v>292</v>
      </c>
      <c r="AQ228" s="123"/>
      <c r="AR228" s="123"/>
      <c r="AS228" s="123"/>
      <c r="AT228" s="123"/>
      <c r="AU228" s="123" t="s">
        <v>293</v>
      </c>
      <c r="AV228" s="123"/>
      <c r="AW228" s="123"/>
      <c r="AX228" s="123"/>
      <c r="AY228" s="123"/>
      <c r="AZ228" s="123" t="s">
        <v>294</v>
      </c>
      <c r="BA228" s="123"/>
      <c r="BB228" s="123"/>
      <c r="BC228" s="123"/>
      <c r="BD228" s="123"/>
      <c r="BE228" s="123" t="s">
        <v>295</v>
      </c>
      <c r="BF228" s="123"/>
      <c r="BG228" s="123"/>
      <c r="BH228" s="123"/>
      <c r="BI228" s="123"/>
      <c r="BJ228" s="123" t="s">
        <v>296</v>
      </c>
      <c r="BK228" s="123"/>
      <c r="BL228" s="123"/>
      <c r="BM228" s="123"/>
      <c r="BN228" s="123"/>
      <c r="BO228" s="123" t="s">
        <v>297</v>
      </c>
      <c r="BP228" s="123"/>
      <c r="BQ228" s="123"/>
      <c r="BR228" s="123"/>
      <c r="BS228" s="190"/>
    </row>
    <row r="229" spans="3:71" ht="15" x14ac:dyDescent="0.2">
      <c r="C229" s="364" t="s">
        <v>71</v>
      </c>
      <c r="D229" s="365"/>
      <c r="E229" s="366"/>
      <c r="F229" s="246"/>
      <c r="G229" s="221"/>
      <c r="H229" s="221"/>
      <c r="I229" s="221"/>
      <c r="J229" s="221"/>
      <c r="K229" s="221"/>
      <c r="L229" s="221"/>
      <c r="M229" s="363"/>
      <c r="N229" s="438"/>
      <c r="O229" s="219"/>
      <c r="P229" s="219"/>
      <c r="AJ229" s="183" t="s">
        <v>298</v>
      </c>
      <c r="AK229" s="184"/>
      <c r="AL229" s="184"/>
      <c r="AM229" s="184"/>
      <c r="AN229" s="184"/>
      <c r="AO229" s="184"/>
      <c r="AP229" s="184" t="s">
        <v>299</v>
      </c>
      <c r="AQ229" s="184"/>
      <c r="AR229" s="184"/>
      <c r="AS229" s="184"/>
      <c r="AT229" s="184"/>
      <c r="AU229" s="184" t="s">
        <v>294</v>
      </c>
      <c r="AV229" s="184"/>
      <c r="AW229" s="184"/>
      <c r="AX229" s="184"/>
      <c r="AY229" s="184"/>
      <c r="AZ229" s="184" t="s">
        <v>297</v>
      </c>
      <c r="BA229" s="184"/>
      <c r="BB229" s="184"/>
      <c r="BC229" s="184"/>
      <c r="BD229" s="184"/>
      <c r="BE229" s="184" t="s">
        <v>300</v>
      </c>
      <c r="BF229" s="184"/>
      <c r="BG229" s="184"/>
      <c r="BH229" s="184"/>
      <c r="BI229" s="184"/>
      <c r="BJ229" s="184" t="s">
        <v>301</v>
      </c>
      <c r="BK229" s="184"/>
      <c r="BL229" s="184"/>
      <c r="BM229" s="184"/>
      <c r="BN229" s="184"/>
      <c r="BO229" s="184" t="s">
        <v>302</v>
      </c>
      <c r="BP229" s="184"/>
      <c r="BQ229" s="184"/>
      <c r="BR229" s="184"/>
      <c r="BS229" s="189"/>
    </row>
    <row r="230" spans="3:71" ht="15" x14ac:dyDescent="0.2">
      <c r="C230" s="367"/>
      <c r="D230" s="368"/>
      <c r="E230" s="369"/>
      <c r="F230" s="247"/>
      <c r="G230" s="221"/>
      <c r="H230" s="221"/>
      <c r="I230" s="221"/>
      <c r="J230" s="221"/>
      <c r="K230" s="221"/>
      <c r="L230" s="221"/>
      <c r="M230" s="363"/>
      <c r="N230" s="439"/>
      <c r="O230" s="219"/>
      <c r="P230" s="219"/>
      <c r="AJ230" s="182" t="s">
        <v>303</v>
      </c>
      <c r="AK230" s="123"/>
      <c r="AL230" s="123"/>
      <c r="AM230" s="123"/>
      <c r="AN230" s="123"/>
      <c r="AO230" s="123"/>
      <c r="AP230" s="123" t="s">
        <v>304</v>
      </c>
      <c r="AQ230" s="123"/>
      <c r="AR230" s="123"/>
      <c r="AS230" s="123"/>
      <c r="AT230" s="123"/>
      <c r="AU230" s="123" t="s">
        <v>295</v>
      </c>
      <c r="AV230" s="123"/>
      <c r="AW230" s="123"/>
      <c r="AX230" s="123"/>
      <c r="AY230" s="123"/>
      <c r="AZ230" s="123" t="s">
        <v>300</v>
      </c>
      <c r="BA230" s="123"/>
      <c r="BB230" s="123"/>
      <c r="BC230" s="123"/>
      <c r="BD230" s="123"/>
      <c r="BE230" s="123" t="s">
        <v>305</v>
      </c>
      <c r="BF230" s="123"/>
      <c r="BG230" s="123"/>
      <c r="BH230" s="123"/>
      <c r="BI230" s="123"/>
      <c r="BJ230" s="123" t="s">
        <v>305</v>
      </c>
      <c r="BK230" s="123"/>
      <c r="BL230" s="123"/>
      <c r="BM230" s="123"/>
      <c r="BN230" s="123"/>
      <c r="BO230" s="123" t="s">
        <v>306</v>
      </c>
      <c r="BP230" s="123"/>
      <c r="BQ230" s="123"/>
      <c r="BR230" s="123"/>
      <c r="BS230" s="190"/>
    </row>
    <row r="231" spans="3:71" ht="15.75" thickBot="1" x14ac:dyDescent="0.25">
      <c r="C231" s="370"/>
      <c r="D231" s="371"/>
      <c r="E231" s="372"/>
      <c r="F231" s="248"/>
      <c r="G231" s="221"/>
      <c r="H231" s="221"/>
      <c r="I231" s="221"/>
      <c r="J231" s="221"/>
      <c r="K231" s="221"/>
      <c r="L231" s="221"/>
      <c r="M231" s="363"/>
      <c r="N231" s="440"/>
      <c r="O231" s="219"/>
      <c r="P231" s="219"/>
      <c r="AJ231" s="183" t="s">
        <v>307</v>
      </c>
      <c r="AK231" s="184"/>
      <c r="AL231" s="184"/>
      <c r="AM231" s="184"/>
      <c r="AN231" s="184"/>
      <c r="AO231" s="184"/>
      <c r="AP231" s="184" t="s">
        <v>308</v>
      </c>
      <c r="AQ231" s="184"/>
      <c r="AR231" s="184"/>
      <c r="AS231" s="184"/>
      <c r="AT231" s="184"/>
      <c r="AU231" s="184" t="s">
        <v>309</v>
      </c>
      <c r="AV231" s="184"/>
      <c r="AW231" s="184"/>
      <c r="AX231" s="184"/>
      <c r="AY231" s="184"/>
      <c r="AZ231" s="184" t="s">
        <v>305</v>
      </c>
      <c r="BA231" s="184"/>
      <c r="BB231" s="184"/>
      <c r="BC231" s="184"/>
      <c r="BD231" s="184"/>
      <c r="BE231" s="184" t="s">
        <v>310</v>
      </c>
      <c r="BF231" s="184"/>
      <c r="BG231" s="184"/>
      <c r="BH231" s="184"/>
      <c r="BI231" s="184"/>
      <c r="BJ231" s="184" t="s">
        <v>310</v>
      </c>
      <c r="BK231" s="184"/>
      <c r="BL231" s="184"/>
      <c r="BM231" s="184"/>
      <c r="BN231" s="184"/>
      <c r="BO231" s="184" t="s">
        <v>311</v>
      </c>
      <c r="BP231" s="184"/>
      <c r="BQ231" s="184"/>
      <c r="BR231" s="184"/>
      <c r="BS231" s="189"/>
    </row>
    <row r="232" spans="3:71" ht="15" x14ac:dyDescent="0.2">
      <c r="C232" s="364" t="s">
        <v>72</v>
      </c>
      <c r="D232" s="365"/>
      <c r="E232" s="366"/>
      <c r="F232" s="246"/>
      <c r="G232" s="221"/>
      <c r="H232" s="221"/>
      <c r="I232" s="221"/>
      <c r="J232" s="221"/>
      <c r="K232" s="221"/>
      <c r="L232" s="221"/>
      <c r="M232" s="363"/>
      <c r="N232" s="438"/>
      <c r="O232" s="219"/>
      <c r="P232" s="219"/>
      <c r="AJ232" s="182" t="s">
        <v>312</v>
      </c>
      <c r="AK232" s="123"/>
      <c r="AL232" s="123"/>
      <c r="AM232" s="123"/>
      <c r="AN232" s="123"/>
      <c r="AO232" s="123"/>
      <c r="AP232" s="123" t="s">
        <v>313</v>
      </c>
      <c r="AQ232" s="123"/>
      <c r="AR232" s="123"/>
      <c r="AS232" s="123"/>
      <c r="AT232" s="123"/>
      <c r="AU232" s="123" t="s">
        <v>314</v>
      </c>
      <c r="AV232" s="123"/>
      <c r="AW232" s="123"/>
      <c r="AX232" s="123"/>
      <c r="AY232" s="123"/>
      <c r="AZ232" s="123" t="s">
        <v>315</v>
      </c>
      <c r="BA232" s="123"/>
      <c r="BB232" s="123"/>
      <c r="BC232" s="123"/>
      <c r="BD232" s="123"/>
      <c r="BE232" s="123" t="s">
        <v>316</v>
      </c>
      <c r="BF232" s="123"/>
      <c r="BG232" s="123"/>
      <c r="BH232" s="123"/>
      <c r="BI232" s="123"/>
      <c r="BJ232" s="123" t="s">
        <v>316</v>
      </c>
      <c r="BK232" s="123"/>
      <c r="BL232" s="123"/>
      <c r="BM232" s="123"/>
      <c r="BN232" s="123"/>
      <c r="BO232" s="123" t="s">
        <v>315</v>
      </c>
      <c r="BP232" s="123"/>
      <c r="BQ232" s="123"/>
      <c r="BR232" s="123"/>
      <c r="BS232" s="190"/>
    </row>
    <row r="233" spans="3:71" ht="15.75" thickBot="1" x14ac:dyDescent="0.25">
      <c r="C233" s="367"/>
      <c r="D233" s="368"/>
      <c r="E233" s="369"/>
      <c r="F233" s="247"/>
      <c r="G233" s="221"/>
      <c r="H233" s="221"/>
      <c r="I233" s="221"/>
      <c r="J233" s="221"/>
      <c r="K233" s="221"/>
      <c r="L233" s="221"/>
      <c r="M233" s="363"/>
      <c r="N233" s="439"/>
      <c r="O233" s="219"/>
      <c r="P233" s="219"/>
      <c r="AJ233" s="185" t="s">
        <v>317</v>
      </c>
      <c r="AK233" s="186"/>
      <c r="AL233" s="186"/>
      <c r="AM233" s="186"/>
      <c r="AN233" s="186"/>
      <c r="AO233" s="186"/>
      <c r="AP233" s="186" t="s">
        <v>318</v>
      </c>
      <c r="AQ233" s="186"/>
      <c r="AR233" s="186"/>
      <c r="AS233" s="186"/>
      <c r="AT233" s="186"/>
      <c r="AU233" s="186" t="s">
        <v>319</v>
      </c>
      <c r="AV233" s="186"/>
      <c r="AW233" s="186"/>
      <c r="AX233" s="186"/>
      <c r="AY233" s="186"/>
      <c r="AZ233" s="186" t="s">
        <v>320</v>
      </c>
      <c r="BA233" s="186"/>
      <c r="BB233" s="186"/>
      <c r="BC233" s="186"/>
      <c r="BD233" s="186"/>
      <c r="BE233" s="186" t="s">
        <v>321</v>
      </c>
      <c r="BF233" s="186"/>
      <c r="BG233" s="186"/>
      <c r="BH233" s="186"/>
      <c r="BI233" s="186"/>
      <c r="BJ233" s="186" t="s">
        <v>321</v>
      </c>
      <c r="BK233" s="186"/>
      <c r="BL233" s="186"/>
      <c r="BM233" s="186"/>
      <c r="BN233" s="186"/>
      <c r="BO233" s="186" t="s">
        <v>322</v>
      </c>
      <c r="BP233" s="186"/>
      <c r="BQ233" s="186"/>
      <c r="BR233" s="186"/>
      <c r="BS233" s="188"/>
    </row>
    <row r="234" spans="3:71" ht="15.75" thickBot="1" x14ac:dyDescent="0.25">
      <c r="C234" s="370"/>
      <c r="D234" s="371"/>
      <c r="E234" s="372"/>
      <c r="F234" s="248"/>
      <c r="G234" s="221"/>
      <c r="H234" s="221"/>
      <c r="I234" s="221"/>
      <c r="J234" s="221"/>
      <c r="K234" s="221"/>
      <c r="L234" s="221"/>
      <c r="M234" s="363"/>
      <c r="N234" s="440"/>
      <c r="O234" s="219"/>
      <c r="P234" s="219"/>
      <c r="AJ234" s="401" t="s">
        <v>323</v>
      </c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3"/>
    </row>
    <row r="235" spans="3:71" ht="15.75" thickBot="1" x14ac:dyDescent="0.25">
      <c r="C235" s="364" t="s">
        <v>73</v>
      </c>
      <c r="D235" s="365"/>
      <c r="E235" s="366"/>
      <c r="F235" s="246"/>
      <c r="G235" s="221"/>
      <c r="H235" s="221"/>
      <c r="I235" s="221"/>
      <c r="J235" s="221"/>
      <c r="K235" s="221"/>
      <c r="L235" s="221"/>
      <c r="M235" s="363"/>
      <c r="N235" s="438"/>
      <c r="O235" s="219"/>
      <c r="P235" s="219"/>
      <c r="AJ235" s="401" t="s">
        <v>279</v>
      </c>
      <c r="AK235" s="402"/>
      <c r="AL235" s="402"/>
      <c r="AM235" s="402"/>
      <c r="AN235" s="402"/>
      <c r="AO235" s="402"/>
      <c r="AP235" s="192" t="s">
        <v>280</v>
      </c>
      <c r="AQ235" s="192"/>
      <c r="AR235" s="192"/>
      <c r="AS235" s="192"/>
      <c r="AT235" s="192"/>
      <c r="AU235" s="192" t="s">
        <v>281</v>
      </c>
      <c r="AV235" s="192"/>
      <c r="AW235" s="192"/>
      <c r="AX235" s="192"/>
      <c r="AY235" s="192"/>
      <c r="AZ235" s="192" t="s">
        <v>282</v>
      </c>
      <c r="BA235" s="192"/>
      <c r="BB235" s="192"/>
      <c r="BC235" s="192"/>
      <c r="BD235" s="192"/>
      <c r="BE235" s="192" t="s">
        <v>283</v>
      </c>
      <c r="BF235" s="192"/>
      <c r="BG235" s="192"/>
      <c r="BH235" s="192"/>
      <c r="BI235" s="192"/>
      <c r="BJ235" s="192" t="s">
        <v>284</v>
      </c>
      <c r="BK235" s="192"/>
      <c r="BL235" s="192"/>
      <c r="BM235" s="192"/>
      <c r="BN235" s="192"/>
      <c r="BO235" s="192" t="s">
        <v>285</v>
      </c>
      <c r="BP235" s="192"/>
      <c r="BQ235" s="192"/>
      <c r="BR235" s="192"/>
      <c r="BS235" s="193"/>
    </row>
    <row r="236" spans="3:71" ht="15" x14ac:dyDescent="0.2">
      <c r="C236" s="367"/>
      <c r="D236" s="368"/>
      <c r="E236" s="369"/>
      <c r="F236" s="247"/>
      <c r="G236" s="221"/>
      <c r="H236" s="221"/>
      <c r="I236" s="221"/>
      <c r="J236" s="221"/>
      <c r="K236" s="221"/>
      <c r="L236" s="221"/>
      <c r="M236" s="363"/>
      <c r="N236" s="439"/>
      <c r="O236" s="219"/>
      <c r="P236" s="219"/>
      <c r="AJ236" s="393" t="s">
        <v>141</v>
      </c>
      <c r="AK236" s="394"/>
      <c r="AL236" s="394"/>
      <c r="AM236" s="394"/>
      <c r="AN236" s="394"/>
      <c r="AO236" s="394"/>
      <c r="AP236" s="181" t="s">
        <v>324</v>
      </c>
      <c r="AQ236" s="181"/>
      <c r="AR236" s="181"/>
      <c r="AS236" s="181"/>
      <c r="AT236" s="181"/>
      <c r="AU236" s="181" t="s">
        <v>304</v>
      </c>
      <c r="AV236" s="181"/>
      <c r="AW236" s="181"/>
      <c r="AX236" s="181"/>
      <c r="AY236" s="181"/>
      <c r="AZ236" s="181" t="s">
        <v>325</v>
      </c>
      <c r="BA236" s="181"/>
      <c r="BB236" s="181"/>
      <c r="BC236" s="181"/>
      <c r="BD236" s="181"/>
      <c r="BE236" s="181" t="s">
        <v>326</v>
      </c>
      <c r="BF236" s="181"/>
      <c r="BG236" s="181"/>
      <c r="BH236" s="181"/>
      <c r="BI236" s="181"/>
      <c r="BJ236" s="181" t="s">
        <v>327</v>
      </c>
      <c r="BK236" s="181"/>
      <c r="BL236" s="181"/>
      <c r="BM236" s="181"/>
      <c r="BN236" s="181"/>
      <c r="BO236" s="181" t="s">
        <v>328</v>
      </c>
      <c r="BP236" s="181"/>
      <c r="BQ236" s="181"/>
      <c r="BR236" s="181"/>
      <c r="BS236" s="191"/>
    </row>
    <row r="237" spans="3:71" ht="15.75" thickBot="1" x14ac:dyDescent="0.25">
      <c r="C237" s="370"/>
      <c r="D237" s="371"/>
      <c r="E237" s="372"/>
      <c r="F237" s="248"/>
      <c r="G237" s="221"/>
      <c r="H237" s="221"/>
      <c r="I237" s="221"/>
      <c r="J237" s="221"/>
      <c r="K237" s="221"/>
      <c r="L237" s="221"/>
      <c r="M237" s="363"/>
      <c r="N237" s="440"/>
      <c r="O237" s="219"/>
      <c r="P237" s="219"/>
      <c r="AJ237" s="380" t="s">
        <v>140</v>
      </c>
      <c r="AK237" s="392"/>
      <c r="AL237" s="392"/>
      <c r="AM237" s="392"/>
      <c r="AN237" s="392"/>
      <c r="AO237" s="392"/>
      <c r="AP237" s="123" t="s">
        <v>329</v>
      </c>
      <c r="AQ237" s="123"/>
      <c r="AR237" s="123"/>
      <c r="AS237" s="123"/>
      <c r="AT237" s="123"/>
      <c r="AU237" s="123" t="s">
        <v>295</v>
      </c>
      <c r="AV237" s="123"/>
      <c r="AW237" s="123"/>
      <c r="AX237" s="123"/>
      <c r="AY237" s="123"/>
      <c r="AZ237" s="123" t="s">
        <v>330</v>
      </c>
      <c r="BA237" s="123"/>
      <c r="BB237" s="123"/>
      <c r="BC237" s="123"/>
      <c r="BD237" s="123"/>
      <c r="BE237" s="123" t="s">
        <v>331</v>
      </c>
      <c r="BF237" s="123"/>
      <c r="BG237" s="123"/>
      <c r="BH237" s="123"/>
      <c r="BI237" s="123"/>
      <c r="BJ237" s="123" t="s">
        <v>332</v>
      </c>
      <c r="BK237" s="123"/>
      <c r="BL237" s="123"/>
      <c r="BM237" s="123"/>
      <c r="BN237" s="123"/>
      <c r="BO237" s="123" t="s">
        <v>333</v>
      </c>
      <c r="BP237" s="123"/>
      <c r="BQ237" s="123"/>
      <c r="BR237" s="123"/>
      <c r="BS237" s="190"/>
    </row>
    <row r="238" spans="3:71" ht="15" x14ac:dyDescent="0.2">
      <c r="C238" s="364" t="s">
        <v>74</v>
      </c>
      <c r="D238" s="365"/>
      <c r="E238" s="366"/>
      <c r="F238" s="246"/>
      <c r="G238" s="221"/>
      <c r="H238" s="221"/>
      <c r="I238" s="221"/>
      <c r="J238" s="221"/>
      <c r="K238" s="221"/>
      <c r="L238" s="221"/>
      <c r="M238" s="363"/>
      <c r="N238" s="438"/>
      <c r="O238" s="219"/>
      <c r="P238" s="219"/>
      <c r="AJ238" s="378" t="s">
        <v>298</v>
      </c>
      <c r="AK238" s="391"/>
      <c r="AL238" s="391"/>
      <c r="AM238" s="391"/>
      <c r="AN238" s="391"/>
      <c r="AO238" s="391"/>
      <c r="AP238" s="184" t="s">
        <v>334</v>
      </c>
      <c r="AQ238" s="184"/>
      <c r="AR238" s="184"/>
      <c r="AS238" s="184"/>
      <c r="AT238" s="184"/>
      <c r="AU238" s="184" t="s">
        <v>300</v>
      </c>
      <c r="AV238" s="184"/>
      <c r="AW238" s="184"/>
      <c r="AX238" s="184"/>
      <c r="AY238" s="184"/>
      <c r="AZ238" s="184" t="s">
        <v>332</v>
      </c>
      <c r="BA238" s="184"/>
      <c r="BB238" s="184"/>
      <c r="BC238" s="184"/>
      <c r="BD238" s="184"/>
      <c r="BE238" s="184" t="s">
        <v>335</v>
      </c>
      <c r="BF238" s="184"/>
      <c r="BG238" s="184"/>
      <c r="BH238" s="184"/>
      <c r="BI238" s="184"/>
      <c r="BJ238" s="184" t="s">
        <v>315</v>
      </c>
      <c r="BK238" s="184"/>
      <c r="BL238" s="184"/>
      <c r="BM238" s="184"/>
      <c r="BN238" s="184"/>
      <c r="BO238" s="184" t="s">
        <v>315</v>
      </c>
      <c r="BP238" s="184"/>
      <c r="BQ238" s="184"/>
      <c r="BR238" s="184"/>
      <c r="BS238" s="189"/>
    </row>
    <row r="239" spans="3:71" ht="15" x14ac:dyDescent="0.2">
      <c r="C239" s="367"/>
      <c r="D239" s="368"/>
      <c r="E239" s="369"/>
      <c r="F239" s="247"/>
      <c r="G239" s="221"/>
      <c r="H239" s="221"/>
      <c r="I239" s="221"/>
      <c r="J239" s="221"/>
      <c r="K239" s="221"/>
      <c r="L239" s="221"/>
      <c r="M239" s="363"/>
      <c r="N239" s="439"/>
      <c r="O239" s="219"/>
      <c r="P239" s="219"/>
      <c r="AJ239" s="380" t="s">
        <v>303</v>
      </c>
      <c r="AK239" s="392"/>
      <c r="AL239" s="392"/>
      <c r="AM239" s="392"/>
      <c r="AN239" s="392"/>
      <c r="AO239" s="392"/>
      <c r="AP239" s="123" t="s">
        <v>331</v>
      </c>
      <c r="AQ239" s="123"/>
      <c r="AR239" s="123"/>
      <c r="AS239" s="123"/>
      <c r="AT239" s="123"/>
      <c r="AU239" s="123" t="s">
        <v>305</v>
      </c>
      <c r="AV239" s="123"/>
      <c r="AW239" s="123"/>
      <c r="AX239" s="123"/>
      <c r="AY239" s="123"/>
      <c r="AZ239" s="123" t="s">
        <v>315</v>
      </c>
      <c r="BA239" s="123"/>
      <c r="BB239" s="123"/>
      <c r="BC239" s="123"/>
      <c r="BD239" s="123"/>
      <c r="BE239" s="123" t="s">
        <v>336</v>
      </c>
      <c r="BF239" s="123"/>
      <c r="BG239" s="123"/>
      <c r="BH239" s="123"/>
      <c r="BI239" s="123"/>
      <c r="BJ239" s="123" t="s">
        <v>337</v>
      </c>
      <c r="BK239" s="123"/>
      <c r="BL239" s="123"/>
      <c r="BM239" s="123"/>
      <c r="BN239" s="123"/>
      <c r="BO239" s="123" t="s">
        <v>337</v>
      </c>
      <c r="BP239" s="123"/>
      <c r="BQ239" s="123"/>
      <c r="BR239" s="123"/>
      <c r="BS239" s="190"/>
    </row>
    <row r="240" spans="3:71" ht="15.75" thickBot="1" x14ac:dyDescent="0.25">
      <c r="C240" s="370"/>
      <c r="D240" s="371"/>
      <c r="E240" s="372"/>
      <c r="F240" s="248"/>
      <c r="G240" s="221"/>
      <c r="H240" s="221"/>
      <c r="I240" s="221"/>
      <c r="J240" s="221"/>
      <c r="K240" s="221"/>
      <c r="L240" s="221"/>
      <c r="M240" s="363"/>
      <c r="N240" s="440"/>
      <c r="O240" s="219"/>
      <c r="P240" s="219"/>
      <c r="AJ240" s="378" t="s">
        <v>307</v>
      </c>
      <c r="AK240" s="391"/>
      <c r="AL240" s="391"/>
      <c r="AM240" s="391"/>
      <c r="AN240" s="391"/>
      <c r="AO240" s="391"/>
      <c r="AP240" s="184" t="s">
        <v>335</v>
      </c>
      <c r="AQ240" s="184"/>
      <c r="AR240" s="184"/>
      <c r="AS240" s="184"/>
      <c r="AT240" s="184"/>
      <c r="AU240" s="184" t="s">
        <v>315</v>
      </c>
      <c r="AV240" s="184"/>
      <c r="AW240" s="184"/>
      <c r="AX240" s="184"/>
      <c r="AY240" s="184"/>
      <c r="AZ240" s="184" t="s">
        <v>337</v>
      </c>
      <c r="BA240" s="184"/>
      <c r="BB240" s="184"/>
      <c r="BC240" s="184"/>
      <c r="BD240" s="184"/>
      <c r="BE240" s="184" t="s">
        <v>338</v>
      </c>
      <c r="BF240" s="184"/>
      <c r="BG240" s="184"/>
      <c r="BH240" s="184"/>
      <c r="BI240" s="184"/>
      <c r="BJ240" s="184" t="s">
        <v>339</v>
      </c>
      <c r="BK240" s="184"/>
      <c r="BL240" s="184"/>
      <c r="BM240" s="184"/>
      <c r="BN240" s="184"/>
      <c r="BO240" s="184" t="s">
        <v>338</v>
      </c>
      <c r="BP240" s="184"/>
      <c r="BQ240" s="184"/>
      <c r="BR240" s="184"/>
      <c r="BS240" s="189"/>
    </row>
    <row r="241" spans="3:71" ht="15" x14ac:dyDescent="0.2">
      <c r="C241" s="364" t="s">
        <v>75</v>
      </c>
      <c r="D241" s="365"/>
      <c r="E241" s="366"/>
      <c r="F241" s="246"/>
      <c r="G241" s="221"/>
      <c r="H241" s="221"/>
      <c r="I241" s="221"/>
      <c r="J241" s="221"/>
      <c r="K241" s="221"/>
      <c r="L241" s="221"/>
      <c r="M241" s="363"/>
      <c r="N241" s="438"/>
      <c r="O241" s="219"/>
      <c r="P241" s="219"/>
      <c r="AJ241" s="380" t="s">
        <v>312</v>
      </c>
      <c r="AK241" s="392"/>
      <c r="AL241" s="392"/>
      <c r="AM241" s="392"/>
      <c r="AN241" s="392"/>
      <c r="AO241" s="392"/>
      <c r="AP241" s="123" t="s">
        <v>336</v>
      </c>
      <c r="AQ241" s="123"/>
      <c r="AR241" s="123"/>
      <c r="AS241" s="123"/>
      <c r="AT241" s="123"/>
      <c r="AU241" s="123" t="s">
        <v>340</v>
      </c>
      <c r="AV241" s="123"/>
      <c r="AW241" s="123"/>
      <c r="AX241" s="123"/>
      <c r="AY241" s="123"/>
      <c r="AZ241" s="123" t="s">
        <v>341</v>
      </c>
      <c r="BA241" s="123"/>
      <c r="BB241" s="123"/>
      <c r="BC241" s="123"/>
      <c r="BD241" s="123"/>
      <c r="BE241" s="123" t="s">
        <v>358</v>
      </c>
      <c r="BF241" s="123"/>
      <c r="BG241" s="123"/>
      <c r="BH241" s="123"/>
      <c r="BI241" s="123"/>
      <c r="BJ241" s="123" t="s">
        <v>342</v>
      </c>
      <c r="BK241" s="123"/>
      <c r="BL241" s="123"/>
      <c r="BM241" s="123"/>
      <c r="BN241" s="123"/>
      <c r="BO241" s="123" t="s">
        <v>343</v>
      </c>
      <c r="BP241" s="123"/>
      <c r="BQ241" s="123"/>
      <c r="BR241" s="123"/>
      <c r="BS241" s="190"/>
    </row>
    <row r="242" spans="3:71" ht="15.75" thickBot="1" x14ac:dyDescent="0.25">
      <c r="C242" s="367"/>
      <c r="D242" s="368"/>
      <c r="E242" s="369"/>
      <c r="F242" s="247"/>
      <c r="G242" s="221"/>
      <c r="H242" s="221"/>
      <c r="I242" s="221"/>
      <c r="J242" s="221"/>
      <c r="K242" s="221"/>
      <c r="L242" s="221"/>
      <c r="M242" s="363"/>
      <c r="N242" s="439"/>
      <c r="O242" s="219"/>
      <c r="P242" s="219"/>
      <c r="AJ242" s="387" t="s">
        <v>317</v>
      </c>
      <c r="AK242" s="388"/>
      <c r="AL242" s="388"/>
      <c r="AM242" s="388"/>
      <c r="AN242" s="388"/>
      <c r="AO242" s="388"/>
      <c r="AP242" s="186" t="s">
        <v>344</v>
      </c>
      <c r="AQ242" s="186"/>
      <c r="AR242" s="186"/>
      <c r="AS242" s="186"/>
      <c r="AT242" s="186"/>
      <c r="AU242" s="186" t="s">
        <v>345</v>
      </c>
      <c r="AV242" s="186"/>
      <c r="AW242" s="186"/>
      <c r="AX242" s="186"/>
      <c r="AY242" s="186"/>
      <c r="AZ242" s="186" t="s">
        <v>346</v>
      </c>
      <c r="BA242" s="186"/>
      <c r="BB242" s="186"/>
      <c r="BC242" s="186"/>
      <c r="BD242" s="186"/>
      <c r="BE242" s="186" t="s">
        <v>357</v>
      </c>
      <c r="BF242" s="186"/>
      <c r="BG242" s="186"/>
      <c r="BH242" s="186"/>
      <c r="BI242" s="186"/>
      <c r="BJ242" s="186" t="s">
        <v>347</v>
      </c>
      <c r="BK242" s="186"/>
      <c r="BL242" s="186"/>
      <c r="BM242" s="186"/>
      <c r="BN242" s="186"/>
      <c r="BO242" s="186" t="s">
        <v>348</v>
      </c>
      <c r="BP242" s="186"/>
      <c r="BQ242" s="186"/>
      <c r="BR242" s="186"/>
      <c r="BS242" s="188"/>
    </row>
    <row r="243" spans="3:71" ht="15.75" thickBot="1" x14ac:dyDescent="0.25">
      <c r="C243" s="370"/>
      <c r="D243" s="371"/>
      <c r="E243" s="372"/>
      <c r="F243" s="248"/>
      <c r="G243" s="221"/>
      <c r="H243" s="221"/>
      <c r="I243" s="221"/>
      <c r="J243" s="221"/>
      <c r="K243" s="221"/>
      <c r="L243" s="221"/>
      <c r="M243" s="363"/>
      <c r="N243" s="440"/>
      <c r="O243" s="219"/>
      <c r="P243" s="219"/>
    </row>
    <row r="244" spans="3:71" ht="15" x14ac:dyDescent="0.2">
      <c r="C244" s="364" t="s">
        <v>76</v>
      </c>
      <c r="D244" s="365"/>
      <c r="E244" s="366"/>
      <c r="F244" s="246"/>
      <c r="G244" s="221"/>
      <c r="H244" s="221"/>
      <c r="I244" s="221"/>
      <c r="J244" s="221"/>
      <c r="K244" s="221"/>
      <c r="L244" s="221"/>
      <c r="M244" s="363"/>
      <c r="N244" s="438"/>
      <c r="O244" s="219"/>
      <c r="P244" s="219"/>
    </row>
    <row r="245" spans="3:71" ht="15" x14ac:dyDescent="0.2">
      <c r="C245" s="367"/>
      <c r="D245" s="368"/>
      <c r="E245" s="369"/>
      <c r="F245" s="247"/>
      <c r="G245" s="221"/>
      <c r="H245" s="221"/>
      <c r="I245" s="221"/>
      <c r="J245" s="221"/>
      <c r="K245" s="221"/>
      <c r="L245" s="221"/>
      <c r="M245" s="363"/>
      <c r="N245" s="439"/>
      <c r="O245" s="219"/>
      <c r="P245" s="219"/>
      <c r="AJ245" s="389" t="s">
        <v>349</v>
      </c>
      <c r="AK245" s="390"/>
      <c r="AL245" s="390"/>
      <c r="BB245" s="395" t="s">
        <v>350</v>
      </c>
      <c r="BC245" s="395"/>
      <c r="BD245" s="395"/>
    </row>
    <row r="246" spans="3:71" ht="15.75" thickBot="1" x14ac:dyDescent="0.25">
      <c r="C246" s="370"/>
      <c r="D246" s="371"/>
      <c r="E246" s="372"/>
      <c r="F246" s="248"/>
      <c r="G246" s="221"/>
      <c r="H246" s="221"/>
      <c r="I246" s="221"/>
      <c r="J246" s="221"/>
      <c r="K246" s="221"/>
      <c r="L246" s="221"/>
      <c r="M246" s="363"/>
      <c r="N246" s="440"/>
      <c r="O246" s="219"/>
      <c r="P246" s="219"/>
      <c r="AJ246" s="194"/>
      <c r="AK246" s="195"/>
      <c r="AL246" s="195" t="s">
        <v>351</v>
      </c>
      <c r="AM246" s="187"/>
      <c r="AN246" s="187"/>
      <c r="AO246" s="187"/>
      <c r="AP246" s="106"/>
      <c r="BC246" s="195" t="s">
        <v>351</v>
      </c>
    </row>
    <row r="247" spans="3:71" ht="15" x14ac:dyDescent="0.2">
      <c r="C247" s="416" t="s">
        <v>77</v>
      </c>
      <c r="D247" s="417"/>
      <c r="E247" s="418"/>
      <c r="F247" s="246"/>
      <c r="G247" s="221"/>
      <c r="H247" s="221"/>
      <c r="I247" s="221"/>
      <c r="J247" s="221"/>
      <c r="K247" s="221"/>
      <c r="L247" s="221"/>
      <c r="M247" s="363"/>
      <c r="N247" s="438"/>
      <c r="O247" s="219"/>
      <c r="P247" s="219"/>
      <c r="AL247" s="201">
        <v>4</v>
      </c>
      <c r="AM247" s="378" t="s">
        <v>141</v>
      </c>
      <c r="AN247" s="379"/>
      <c r="AO247" s="106"/>
      <c r="AP247" s="106"/>
      <c r="BB247" s="209">
        <v>13</v>
      </c>
      <c r="BC247" s="396" t="s">
        <v>141</v>
      </c>
      <c r="BD247" s="397"/>
    </row>
    <row r="248" spans="3:71" ht="15" x14ac:dyDescent="0.2">
      <c r="C248" s="419"/>
      <c r="D248" s="363"/>
      <c r="E248" s="420"/>
      <c r="F248" s="247"/>
      <c r="G248" s="221"/>
      <c r="H248" s="221"/>
      <c r="I248" s="221"/>
      <c r="J248" s="221"/>
      <c r="K248" s="221"/>
      <c r="L248" s="221"/>
      <c r="M248" s="363"/>
      <c r="N248" s="439"/>
      <c r="O248" s="219"/>
      <c r="P248" s="219"/>
      <c r="AL248" s="202">
        <v>8</v>
      </c>
      <c r="AM248" s="380" t="s">
        <v>140</v>
      </c>
      <c r="AN248" s="381"/>
      <c r="AO248" s="106"/>
      <c r="AP248" s="106"/>
      <c r="BB248" s="210">
        <v>17</v>
      </c>
      <c r="BC248" s="398" t="s">
        <v>140</v>
      </c>
      <c r="BD248" s="399"/>
    </row>
    <row r="249" spans="3:71" ht="15.75" thickBot="1" x14ac:dyDescent="0.25">
      <c r="C249" s="421"/>
      <c r="D249" s="413"/>
      <c r="E249" s="422"/>
      <c r="F249" s="248"/>
      <c r="G249" s="221"/>
      <c r="H249" s="221"/>
      <c r="I249" s="221"/>
      <c r="J249" s="221"/>
      <c r="K249" s="221"/>
      <c r="L249" s="221"/>
      <c r="M249" s="363"/>
      <c r="N249" s="440"/>
      <c r="O249" s="219"/>
      <c r="P249" s="219"/>
      <c r="AL249" s="203">
        <v>12</v>
      </c>
      <c r="AM249" s="378" t="s">
        <v>298</v>
      </c>
      <c r="AN249" s="382"/>
      <c r="AO249" s="106"/>
      <c r="AP249" s="106"/>
      <c r="BB249" s="211">
        <v>20</v>
      </c>
      <c r="BC249" s="396" t="s">
        <v>298</v>
      </c>
      <c r="BD249" s="400"/>
    </row>
    <row r="250" spans="3:71" ht="15" x14ac:dyDescent="0.2">
      <c r="C250" s="364" t="s">
        <v>78</v>
      </c>
      <c r="D250" s="365"/>
      <c r="E250" s="366"/>
      <c r="F250" s="246"/>
      <c r="G250" s="221"/>
      <c r="H250" s="221"/>
      <c r="I250" s="221"/>
      <c r="J250" s="221"/>
      <c r="K250" s="221"/>
      <c r="L250" s="221"/>
      <c r="M250" s="363"/>
      <c r="N250" s="438"/>
      <c r="O250" s="219"/>
      <c r="P250" s="219"/>
      <c r="AL250" s="202">
        <v>14</v>
      </c>
      <c r="AM250" s="380" t="s">
        <v>303</v>
      </c>
      <c r="AN250" s="381"/>
      <c r="AO250" s="106"/>
      <c r="AP250" s="106"/>
      <c r="AX250" s="42" t="s">
        <v>138</v>
      </c>
      <c r="BB250" s="210">
        <v>23</v>
      </c>
      <c r="BC250" s="398" t="s">
        <v>303</v>
      </c>
      <c r="BD250" s="399"/>
    </row>
    <row r="251" spans="3:71" ht="15" x14ac:dyDescent="0.2">
      <c r="C251" s="367"/>
      <c r="D251" s="368"/>
      <c r="E251" s="369"/>
      <c r="F251" s="247"/>
      <c r="G251" s="221"/>
      <c r="H251" s="221"/>
      <c r="I251" s="221"/>
      <c r="J251" s="221"/>
      <c r="K251" s="221"/>
      <c r="L251" s="221"/>
      <c r="M251" s="363"/>
      <c r="N251" s="439"/>
      <c r="O251" s="219"/>
      <c r="P251" s="219"/>
      <c r="AL251" s="203">
        <v>14</v>
      </c>
      <c r="AM251" s="378" t="s">
        <v>307</v>
      </c>
      <c r="AN251" s="382"/>
      <c r="AO251" s="106"/>
      <c r="AP251" s="106"/>
      <c r="AV251" s="42" t="s">
        <v>133</v>
      </c>
      <c r="AX251" s="216" t="str">
        <f>F98</f>
        <v>-</v>
      </c>
      <c r="BB251" s="211">
        <v>26</v>
      </c>
      <c r="BC251" s="396" t="s">
        <v>307</v>
      </c>
      <c r="BD251" s="400"/>
    </row>
    <row r="252" spans="3:71" ht="15.75" thickBot="1" x14ac:dyDescent="0.25">
      <c r="C252" s="370"/>
      <c r="D252" s="371"/>
      <c r="E252" s="372"/>
      <c r="F252" s="248"/>
      <c r="G252" s="221"/>
      <c r="H252" s="221"/>
      <c r="I252" s="221"/>
      <c r="J252" s="221"/>
      <c r="K252" s="221"/>
      <c r="L252" s="221"/>
      <c r="M252" s="363"/>
      <c r="N252" s="440"/>
      <c r="O252" s="219"/>
      <c r="P252" s="219"/>
      <c r="AL252" s="202">
        <v>20</v>
      </c>
      <c r="AM252" s="380" t="s">
        <v>312</v>
      </c>
      <c r="AN252" s="381"/>
      <c r="AO252" s="106"/>
      <c r="AP252" s="106"/>
      <c r="AT252" s="42" t="s">
        <v>132</v>
      </c>
      <c r="AV252" s="196" t="str">
        <f>N9</f>
        <v>-</v>
      </c>
      <c r="BB252" s="210">
        <v>29</v>
      </c>
      <c r="BC252" s="398" t="s">
        <v>312</v>
      </c>
      <c r="BD252" s="399"/>
    </row>
    <row r="253" spans="3:71" ht="15.75" thickBot="1" x14ac:dyDescent="0.25">
      <c r="C253" s="416" t="s">
        <v>79</v>
      </c>
      <c r="D253" s="417"/>
      <c r="E253" s="418"/>
      <c r="F253" s="246"/>
      <c r="G253" s="221"/>
      <c r="H253" s="221"/>
      <c r="I253" s="221"/>
      <c r="J253" s="221"/>
      <c r="K253" s="221"/>
      <c r="L253" s="221"/>
      <c r="M253" s="363"/>
      <c r="N253" s="438"/>
      <c r="O253" s="219"/>
      <c r="P253" s="219"/>
      <c r="AL253" s="204">
        <v>26</v>
      </c>
      <c r="AM253" s="378" t="s">
        <v>317</v>
      </c>
      <c r="AN253" s="382"/>
      <c r="AO253" s="106"/>
      <c r="AP253" s="106"/>
      <c r="AT253" s="42">
        <f>IF(L9="feminino",0,1)</f>
        <v>1</v>
      </c>
      <c r="BB253" s="212">
        <v>33</v>
      </c>
      <c r="BC253" s="396" t="s">
        <v>317</v>
      </c>
      <c r="BD253" s="400"/>
    </row>
    <row r="254" spans="3:71" ht="15.75" thickBot="1" x14ac:dyDescent="0.25">
      <c r="C254" s="419"/>
      <c r="D254" s="363"/>
      <c r="E254" s="420"/>
      <c r="F254" s="247"/>
      <c r="G254" s="221"/>
      <c r="H254" s="221"/>
      <c r="I254" s="221"/>
      <c r="J254" s="221"/>
      <c r="K254" s="221"/>
      <c r="L254" s="221"/>
      <c r="M254" s="363"/>
      <c r="N254" s="439"/>
      <c r="O254" s="219"/>
      <c r="P254" s="219"/>
      <c r="AN254" s="106"/>
      <c r="AO254" s="106"/>
      <c r="AP254" s="106"/>
    </row>
    <row r="255" spans="3:71" ht="15.75" thickBot="1" x14ac:dyDescent="0.25">
      <c r="C255" s="421"/>
      <c r="D255" s="413"/>
      <c r="E255" s="422"/>
      <c r="F255" s="248"/>
      <c r="G255" s="221"/>
      <c r="H255" s="221"/>
      <c r="I255" s="221"/>
      <c r="J255" s="221"/>
      <c r="K255" s="221"/>
      <c r="L255" s="221"/>
      <c r="M255" s="363"/>
      <c r="N255" s="440"/>
      <c r="O255" s="219"/>
      <c r="P255" s="219"/>
      <c r="AJ255" s="194"/>
      <c r="AK255" s="195"/>
      <c r="AL255" s="192" t="s">
        <v>352</v>
      </c>
      <c r="AN255" s="187"/>
      <c r="AO255" s="187"/>
      <c r="AP255" s="106"/>
      <c r="BC255" s="192" t="s">
        <v>352</v>
      </c>
    </row>
    <row r="256" spans="3:71" ht="15" x14ac:dyDescent="0.2">
      <c r="C256" s="367" t="s">
        <v>80</v>
      </c>
      <c r="D256" s="368"/>
      <c r="E256" s="368"/>
      <c r="F256" s="246"/>
      <c r="G256" s="221"/>
      <c r="H256" s="221"/>
      <c r="I256" s="221"/>
      <c r="J256" s="221"/>
      <c r="K256" s="221"/>
      <c r="L256" s="221"/>
      <c r="M256" s="363"/>
      <c r="N256" s="438"/>
      <c r="O256" s="219"/>
      <c r="P256" s="219"/>
      <c r="AL256" s="197">
        <v>8</v>
      </c>
      <c r="AM256" s="378" t="s">
        <v>141</v>
      </c>
      <c r="AN256" s="379"/>
      <c r="AO256" s="119"/>
      <c r="AP256" s="217"/>
      <c r="AT256" s="79"/>
      <c r="AU256" s="79"/>
      <c r="AV256" s="79"/>
      <c r="AW256" s="79"/>
      <c r="BB256" s="205">
        <v>14</v>
      </c>
      <c r="BC256" s="378" t="s">
        <v>141</v>
      </c>
      <c r="BD256" s="379"/>
    </row>
    <row r="257" spans="3:56" ht="15" x14ac:dyDescent="0.2">
      <c r="C257" s="367"/>
      <c r="D257" s="368"/>
      <c r="E257" s="368"/>
      <c r="F257" s="247"/>
      <c r="G257" s="221"/>
      <c r="H257" s="221"/>
      <c r="I257" s="221"/>
      <c r="J257" s="221"/>
      <c r="K257" s="221"/>
      <c r="L257" s="221"/>
      <c r="M257" s="363"/>
      <c r="N257" s="439"/>
      <c r="O257" s="219"/>
      <c r="P257" s="219"/>
      <c r="AL257" s="198">
        <v>12</v>
      </c>
      <c r="AM257" s="380" t="s">
        <v>140</v>
      </c>
      <c r="AN257" s="381"/>
      <c r="AO257" s="119"/>
      <c r="AP257" s="217"/>
      <c r="AT257" s="79"/>
      <c r="AU257" s="79" t="s">
        <v>359</v>
      </c>
      <c r="AV257" s="79"/>
      <c r="AW257" s="79"/>
      <c r="BB257" s="206">
        <v>18</v>
      </c>
      <c r="BC257" s="380" t="s">
        <v>140</v>
      </c>
      <c r="BD257" s="381"/>
    </row>
    <row r="258" spans="3:56" ht="15.75" thickBot="1" x14ac:dyDescent="0.25">
      <c r="C258" s="367"/>
      <c r="D258" s="368"/>
      <c r="E258" s="368"/>
      <c r="F258" s="248"/>
      <c r="G258" s="221"/>
      <c r="H258" s="221"/>
      <c r="I258" s="221"/>
      <c r="J258" s="221"/>
      <c r="K258" s="221"/>
      <c r="L258" s="221"/>
      <c r="M258" s="363"/>
      <c r="N258" s="440"/>
      <c r="O258" s="219"/>
      <c r="P258" s="219"/>
      <c r="Z258" t="s">
        <v>90</v>
      </c>
      <c r="AL258" s="199">
        <v>16</v>
      </c>
      <c r="AM258" s="378" t="s">
        <v>298</v>
      </c>
      <c r="AN258" s="382"/>
      <c r="AO258" s="119"/>
      <c r="AP258" s="217"/>
      <c r="AT258" s="79"/>
      <c r="AU258" s="386" t="e">
        <f>IF(AND(AT253=0,AV252&lt;=25),VLOOKUP(AX251,BB247:BD253,2,TRUE),IF(AND(AT253=0,AV252&lt;=35),VLOOKUP(AX251,BB256:BD262,2,TRUE),IF(AND(AT253=0,AV252&lt;=45),VLOOKUP(AX251,BB265:BD271,2,TRUE),IF(AND(AT253=0,AV252&lt;=55),VLOOKUP(AX251,BB274:BD280,2,TRUE),IF(AND(AT253=0,AV252&lt;=65),VLOOKUP(AX251,BB283:BD289,2,TRUE),IF(AND(AT253=0,AV252&gt;=65),VLOOKUP(AX251,BB292:BD298,2,TRUE),IF(AND(AT253=1,AV252&lt;=25),VLOOKUP(AX251,AL247:AN253,2,TRUE),IF(AND(AT253=1,AV252&lt;=35),VLOOKUP(AX251,AL256:AN262,2,TRUE),IF(AND(AT253=1,AV252&lt;=45),VLOOKUP(AX251,AL265:AN271,2,TRUE),IF(AND(AT253=1,AV252&lt;=55),VLOOKUP(AX251,AL274:AN280,2,TRUE),IF(AND(AT253=1,AV252&lt;=65),VLOOKUP(AX251,AL283:AN289,2,TRUE),IF(AND(AT253=1,AV252&gt;=65),VLOOKUP(AX251,AL292:AN298,2,TRUE),"-"))))))))))))</f>
        <v>#N/A</v>
      </c>
      <c r="AV258" s="386"/>
      <c r="AW258" s="79"/>
      <c r="BB258" s="207">
        <v>21</v>
      </c>
      <c r="BC258" s="378" t="s">
        <v>298</v>
      </c>
      <c r="BD258" s="382"/>
    </row>
    <row r="259" spans="3:56" ht="15" x14ac:dyDescent="0.2">
      <c r="C259" s="364" t="s">
        <v>81</v>
      </c>
      <c r="D259" s="365"/>
      <c r="E259" s="366"/>
      <c r="F259" s="246"/>
      <c r="G259" s="221"/>
      <c r="H259" s="221"/>
      <c r="I259" s="221"/>
      <c r="J259" s="221"/>
      <c r="K259" s="221"/>
      <c r="L259" s="221"/>
      <c r="M259" s="363"/>
      <c r="N259" s="438"/>
      <c r="O259" s="219"/>
      <c r="P259" s="219"/>
      <c r="Y259" s="310">
        <v>0</v>
      </c>
      <c r="Z259" t="s">
        <v>87</v>
      </c>
      <c r="AL259" s="198">
        <v>18</v>
      </c>
      <c r="AM259" s="380" t="s">
        <v>303</v>
      </c>
      <c r="AN259" s="381"/>
      <c r="AO259" s="119"/>
      <c r="AP259" s="217"/>
      <c r="AT259" s="79"/>
      <c r="AU259" s="79"/>
      <c r="AV259" s="79"/>
      <c r="AW259" s="79"/>
      <c r="BB259" s="206">
        <v>24</v>
      </c>
      <c r="BC259" s="380" t="s">
        <v>303</v>
      </c>
      <c r="BD259" s="381"/>
    </row>
    <row r="260" spans="3:56" ht="15" x14ac:dyDescent="0.2">
      <c r="C260" s="367"/>
      <c r="D260" s="368"/>
      <c r="E260" s="369"/>
      <c r="F260" s="247"/>
      <c r="G260" s="221"/>
      <c r="H260" s="221"/>
      <c r="I260" s="221"/>
      <c r="J260" s="221"/>
      <c r="K260" s="221"/>
      <c r="L260" s="221"/>
      <c r="M260" s="363"/>
      <c r="N260" s="439"/>
      <c r="O260" s="219"/>
      <c r="P260" s="219"/>
      <c r="Y260" s="310">
        <v>21</v>
      </c>
      <c r="Z260" t="s">
        <v>63</v>
      </c>
      <c r="AL260" s="199">
        <v>22</v>
      </c>
      <c r="AM260" s="378" t="s">
        <v>307</v>
      </c>
      <c r="AN260" s="382"/>
      <c r="AO260" s="119"/>
      <c r="AP260" s="217"/>
      <c r="BB260" s="207">
        <v>27</v>
      </c>
      <c r="BC260" s="378" t="s">
        <v>307</v>
      </c>
      <c r="BD260" s="382"/>
    </row>
    <row r="261" spans="3:56" ht="15.75" thickBot="1" x14ac:dyDescent="0.25">
      <c r="C261" s="370"/>
      <c r="D261" s="371"/>
      <c r="E261" s="372"/>
      <c r="F261" s="248"/>
      <c r="G261" s="221"/>
      <c r="H261" s="221"/>
      <c r="I261" s="221"/>
      <c r="J261" s="221"/>
      <c r="K261" s="221"/>
      <c r="L261" s="221"/>
      <c r="M261" s="363"/>
      <c r="N261" s="440"/>
      <c r="O261" s="219"/>
      <c r="P261" s="219"/>
      <c r="Y261" s="310">
        <v>31</v>
      </c>
      <c r="Z261" t="s">
        <v>85</v>
      </c>
      <c r="AL261" s="198">
        <v>24</v>
      </c>
      <c r="AM261" s="380" t="s">
        <v>312</v>
      </c>
      <c r="AN261" s="381"/>
      <c r="AO261" s="119"/>
      <c r="AP261" s="217"/>
      <c r="BB261" s="206">
        <v>31</v>
      </c>
      <c r="BC261" s="380" t="s">
        <v>312</v>
      </c>
      <c r="BD261" s="381"/>
    </row>
    <row r="262" spans="3:56" ht="15.75" thickBot="1" x14ac:dyDescent="0.25">
      <c r="C262" s="367" t="s">
        <v>82</v>
      </c>
      <c r="D262" s="368"/>
      <c r="E262" s="368"/>
      <c r="F262" s="246"/>
      <c r="G262" s="221"/>
      <c r="H262" s="221"/>
      <c r="I262" s="221"/>
      <c r="J262" s="221"/>
      <c r="K262" s="221"/>
      <c r="L262" s="221"/>
      <c r="M262" s="363"/>
      <c r="N262" s="458"/>
      <c r="O262" s="219"/>
      <c r="P262" s="219"/>
      <c r="Y262" s="310">
        <v>41</v>
      </c>
      <c r="Z262" t="s">
        <v>86</v>
      </c>
      <c r="AL262" s="200">
        <v>28</v>
      </c>
      <c r="AM262" s="378" t="s">
        <v>317</v>
      </c>
      <c r="AN262" s="382"/>
      <c r="AO262" s="119"/>
      <c r="AP262" s="217"/>
      <c r="BB262" s="208">
        <v>36</v>
      </c>
      <c r="BC262" s="378" t="s">
        <v>317</v>
      </c>
      <c r="BD262" s="382"/>
    </row>
    <row r="263" spans="3:56" ht="15.75" thickBot="1" x14ac:dyDescent="0.25">
      <c r="C263" s="367"/>
      <c r="D263" s="368"/>
      <c r="E263" s="368"/>
      <c r="F263" s="247"/>
      <c r="G263" s="221"/>
      <c r="H263" s="221"/>
      <c r="I263" s="221"/>
      <c r="J263" s="221"/>
      <c r="K263" s="221"/>
      <c r="L263" s="221"/>
      <c r="M263" s="363"/>
      <c r="N263" s="458"/>
      <c r="O263" s="219"/>
      <c r="P263" s="219"/>
      <c r="Y263" s="310">
        <v>51</v>
      </c>
      <c r="Z263" t="s">
        <v>88</v>
      </c>
      <c r="AN263" s="106"/>
      <c r="AO263" s="106"/>
      <c r="AP263" s="106"/>
    </row>
    <row r="264" spans="3:56" ht="15.75" thickBot="1" x14ac:dyDescent="0.25">
      <c r="C264" s="370"/>
      <c r="D264" s="371"/>
      <c r="E264" s="371"/>
      <c r="F264" s="282"/>
      <c r="G264" s="279"/>
      <c r="H264" s="279"/>
      <c r="I264" s="279"/>
      <c r="J264" s="279"/>
      <c r="K264" s="279"/>
      <c r="L264" s="279"/>
      <c r="M264" s="413"/>
      <c r="N264" s="459"/>
      <c r="O264" s="219"/>
      <c r="P264" s="219"/>
      <c r="Y264" s="310">
        <v>60</v>
      </c>
      <c r="Z264" t="s">
        <v>89</v>
      </c>
      <c r="AJ264" s="194"/>
      <c r="AK264" s="195"/>
      <c r="AL264" s="192" t="s">
        <v>353</v>
      </c>
      <c r="AN264" s="187"/>
      <c r="AO264" s="187"/>
      <c r="AP264" s="106"/>
      <c r="BB264" s="192" t="s">
        <v>353</v>
      </c>
    </row>
    <row r="265" spans="3:56" ht="15" x14ac:dyDescent="0.2"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AL265" s="205">
        <v>10</v>
      </c>
      <c r="AM265" s="378" t="s">
        <v>141</v>
      </c>
      <c r="AN265" s="379"/>
      <c r="AO265" s="106"/>
      <c r="AP265" s="106"/>
      <c r="BB265" s="205">
        <v>16</v>
      </c>
      <c r="BC265" s="378" t="s">
        <v>141</v>
      </c>
      <c r="BD265" s="379"/>
    </row>
    <row r="266" spans="3:56" ht="15" x14ac:dyDescent="0.2">
      <c r="C266" s="410" t="s">
        <v>84</v>
      </c>
      <c r="D266" s="410"/>
      <c r="E266" s="410"/>
      <c r="F266" s="410"/>
      <c r="G266" s="411" t="str">
        <f>IF(M266&gt;0,VLOOKUP(M266,Y259:AA264,2,TRUE),"-")</f>
        <v>-</v>
      </c>
      <c r="H266" s="412"/>
      <c r="I266" s="219"/>
      <c r="J266" s="219"/>
      <c r="K266" s="410" t="s">
        <v>83</v>
      </c>
      <c r="L266" s="410"/>
      <c r="M266" s="446">
        <f>SUM(N220:N264)</f>
        <v>0</v>
      </c>
      <c r="N266" s="431"/>
      <c r="O266" s="219"/>
      <c r="P266" s="219"/>
      <c r="AL266" s="206">
        <v>16</v>
      </c>
      <c r="AM266" s="380" t="s">
        <v>140</v>
      </c>
      <c r="AN266" s="381"/>
      <c r="AO266" s="106"/>
      <c r="AP266" s="106"/>
      <c r="AW266" s="79" t="str">
        <f>IF(AND(CQ23=0,CS22&lt;=19),VLOOKUP(CU21,CP27:CQ31,2,TRUE),IF(AND(CQ23=0,CS22&lt;=29),VLOOKUP(CU21,CP34:CQ38,2,TRUE),IF(AND(CQ23=0,CS22&lt;=39),VLOOKUP(CU21,CP40:CQ44,2,TRUE),IF(AND(CQ23=0,CS22&lt;=49),VLOOKUP(CU21,CP46:CQ50,2,TRUE),IF(AND(CQ23=0,CS22&lt;=59),VLOOKUP(CU21,CP52:CQ56,2,TRUE),IF(AND(CQ23=0,CS22&lt;=69),VLOOKUP(CU21,CP59:CQ63,2,TRUE),IF(AND(CQ23=1,CS22&lt;=19),VLOOKUP(CU21,CS33:CT37,2,TRUE),IF(AND(CQ23=1,CS22&lt;=29),VLOOKUP(CU21,CS40:CT44,2,TRUE),IF(AND(CQ23=1,CS22&lt;=39),VLOOKUP(CU21,CS46:CT50,2,TRUE),IF(AND(CQ23=1,CS22&lt;=49),VLOOKUP(CU21,CS52:CT56,2,TRUE),IF(AND(CQ23=1,CS22&lt;=59),VLOOKUP(CU21,CS58:CT62,2,TRUE),IF(AND(CQ23=1,CS22&lt;=69),VLOOKUP(CU21,CS65:CT69,2,TRUE),"-"))))))))))))</f>
        <v>-</v>
      </c>
      <c r="BB266" s="206">
        <v>20</v>
      </c>
      <c r="BC266" s="380" t="s">
        <v>140</v>
      </c>
      <c r="BD266" s="381"/>
    </row>
    <row r="267" spans="3:56" ht="15" x14ac:dyDescent="0.2"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AL267" s="207">
        <v>19</v>
      </c>
      <c r="AM267" s="378" t="s">
        <v>298</v>
      </c>
      <c r="AN267" s="382"/>
      <c r="AO267" s="106"/>
      <c r="AP267" s="106"/>
      <c r="BB267" s="207">
        <v>24</v>
      </c>
      <c r="BC267" s="378" t="s">
        <v>298</v>
      </c>
      <c r="BD267" s="382"/>
    </row>
    <row r="268" spans="3:56" ht="15" x14ac:dyDescent="0.2"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AL268" s="206">
        <v>21</v>
      </c>
      <c r="AM268" s="380" t="s">
        <v>303</v>
      </c>
      <c r="AN268" s="381"/>
      <c r="AO268" s="106"/>
      <c r="AP268" s="106"/>
      <c r="BB268" s="206">
        <v>27</v>
      </c>
      <c r="BC268" s="380" t="s">
        <v>303</v>
      </c>
      <c r="BD268" s="381"/>
    </row>
    <row r="269" spans="3:56" ht="15" x14ac:dyDescent="0.2">
      <c r="C269" s="362" t="s">
        <v>213</v>
      </c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AL269" s="207">
        <v>24</v>
      </c>
      <c r="AM269" s="378" t="s">
        <v>307</v>
      </c>
      <c r="AN269" s="382"/>
      <c r="AO269" s="106"/>
      <c r="AP269" s="106"/>
      <c r="BB269" s="207">
        <v>30</v>
      </c>
      <c r="BC269" s="378" t="s">
        <v>307</v>
      </c>
      <c r="BD269" s="382"/>
    </row>
    <row r="270" spans="3:56" ht="15" x14ac:dyDescent="0.2">
      <c r="C270" s="238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7"/>
      <c r="AL270" s="206">
        <v>27</v>
      </c>
      <c r="AM270" s="380" t="s">
        <v>312</v>
      </c>
      <c r="AN270" s="381"/>
      <c r="AO270" s="106"/>
      <c r="AP270" s="106"/>
      <c r="AU270" t="str">
        <f>IF(AND(CO27=0,CQ26&lt;=19),VLOOKUP(CS25,CN31:CO35,2,TRUE),IF(AND(CO27=0,CQ26&lt;=29),VLOOKUP(CS25,CN38:CO42,2,TRUE),IF(AND(CO27=0,CQ26&lt;=39),VLOOKUP(CS25,CN44:CO48,2,TRUE),IF(AND(CO27=0,CQ26&lt;=49),VLOOKUP(CS25,CN50:CO54,2,TRUE),IF(AND(CO27=0,CQ26&lt;=59),VLOOKUP(CS25,CN56:CO60,2,TRUE),IF(AND(CO27=0,CQ26&lt;=69),VLOOKUP(CS25,CN63:CO67,2,TRUE),IF(AND(CO27=1,CQ26&lt;=19),VLOOKUP(CS25,CQ37:CR41,2,TRUE),IF(AND(CO27=1,CQ26&lt;=29),VLOOKUP(CS25,CQ44:CR48,2,TRUE),IF(AND(CO27=1,CQ26&lt;=39),VLOOKUP(CS25,CQ50:CR54,2,TRUE),IF(AND(CO27=1,CQ26&lt;=49),VLOOKUP(CS25,CQ56:CR60,2,TRUE),IF(AND(CO27=1,CQ26&lt;=59),VLOOKUP(CS25,CQ62:CR66,2,TRUE),IF(AND(CO27=1,CQ26&lt;=69),VLOOKUP(CS25,CQ69:CR73,2,TRUE),"-"))))))))))))</f>
        <v>-</v>
      </c>
      <c r="BB270" s="206">
        <v>33</v>
      </c>
      <c r="BC270" s="380" t="s">
        <v>312</v>
      </c>
      <c r="BD270" s="381"/>
    </row>
    <row r="271" spans="3:56" ht="15.75" thickBot="1" x14ac:dyDescent="0.25">
      <c r="C271" s="240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78"/>
      <c r="AL271" s="208">
        <v>30</v>
      </c>
      <c r="AM271" s="378" t="s">
        <v>317</v>
      </c>
      <c r="AN271" s="382"/>
      <c r="AO271" s="106"/>
      <c r="AP271" s="106"/>
      <c r="BB271" s="208">
        <v>38</v>
      </c>
      <c r="BC271" s="378" t="s">
        <v>317</v>
      </c>
      <c r="BD271" s="382"/>
    </row>
    <row r="272" spans="3:56" ht="15.75" thickBot="1" x14ac:dyDescent="0.25">
      <c r="C272" s="240"/>
      <c r="D272" s="221"/>
      <c r="E272" s="221"/>
      <c r="F272" s="221"/>
      <c r="G272" s="221"/>
      <c r="H272" s="377" t="s">
        <v>149</v>
      </c>
      <c r="I272" s="377"/>
      <c r="J272" s="377"/>
      <c r="K272" s="377"/>
      <c r="L272" s="313"/>
      <c r="M272" s="221"/>
      <c r="N272" s="221"/>
      <c r="O272" s="221"/>
      <c r="P272" s="278"/>
      <c r="AN272" s="106"/>
      <c r="AO272" s="106"/>
      <c r="AP272" s="106"/>
    </row>
    <row r="273" spans="3:56" ht="15.75" thickBot="1" x14ac:dyDescent="0.25">
      <c r="C273" s="240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78"/>
      <c r="AJ273" s="194"/>
      <c r="AK273" s="195"/>
      <c r="AL273" s="192" t="s">
        <v>354</v>
      </c>
      <c r="AN273" s="187"/>
      <c r="AO273" s="187"/>
      <c r="AP273" s="106"/>
      <c r="BB273" s="192" t="s">
        <v>354</v>
      </c>
    </row>
    <row r="274" spans="3:56" ht="15" x14ac:dyDescent="0.2">
      <c r="C274" s="240"/>
      <c r="D274" s="221"/>
      <c r="E274" s="221"/>
      <c r="F274" s="221"/>
      <c r="G274" s="221"/>
      <c r="H274" s="221"/>
      <c r="I274" s="221"/>
      <c r="J274" s="307" t="s">
        <v>150</v>
      </c>
      <c r="K274" s="221"/>
      <c r="L274" s="232" t="str">
        <f>IF(L272="","-",'Avaliação Física 4'!CH20)</f>
        <v>-</v>
      </c>
      <c r="M274" s="221"/>
      <c r="N274" s="221"/>
      <c r="O274" s="221"/>
      <c r="P274" s="278"/>
      <c r="AL274" s="205">
        <v>12</v>
      </c>
      <c r="AM274" s="378" t="s">
        <v>141</v>
      </c>
      <c r="AN274" s="379"/>
      <c r="AO274" s="106"/>
      <c r="AP274" s="106"/>
      <c r="BB274" s="205">
        <v>14</v>
      </c>
      <c r="BC274" s="378" t="s">
        <v>141</v>
      </c>
      <c r="BD274" s="379"/>
    </row>
    <row r="275" spans="3:56" ht="15" x14ac:dyDescent="0.2">
      <c r="C275" s="240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78"/>
      <c r="AL275" s="206">
        <v>18</v>
      </c>
      <c r="AM275" s="380" t="s">
        <v>140</v>
      </c>
      <c r="AN275" s="381"/>
      <c r="AO275" s="106"/>
      <c r="AP275" s="106"/>
      <c r="BB275" s="206">
        <v>23</v>
      </c>
      <c r="BC275" s="380" t="s">
        <v>140</v>
      </c>
      <c r="BD275" s="381"/>
    </row>
    <row r="276" spans="3:56" ht="15" x14ac:dyDescent="0.2">
      <c r="C276" s="241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80"/>
      <c r="AL276" s="207">
        <v>21</v>
      </c>
      <c r="AM276" s="378" t="s">
        <v>298</v>
      </c>
      <c r="AN276" s="382"/>
      <c r="AO276" s="106"/>
      <c r="AP276" s="106"/>
      <c r="BB276" s="207">
        <v>26</v>
      </c>
      <c r="BC276" s="378" t="s">
        <v>298</v>
      </c>
      <c r="BD276" s="382"/>
    </row>
    <row r="277" spans="3:56" ht="15" x14ac:dyDescent="0.2">
      <c r="AL277" s="206">
        <v>24</v>
      </c>
      <c r="AM277" s="380" t="s">
        <v>303</v>
      </c>
      <c r="AN277" s="381"/>
      <c r="AO277" s="106"/>
      <c r="AP277" s="106"/>
      <c r="BB277" s="206">
        <v>29</v>
      </c>
      <c r="BC277" s="380" t="s">
        <v>303</v>
      </c>
      <c r="BD277" s="381"/>
    </row>
    <row r="278" spans="3:56" ht="15" x14ac:dyDescent="0.2">
      <c r="C278" s="362" t="s">
        <v>214</v>
      </c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AL278" s="207">
        <v>26</v>
      </c>
      <c r="AM278" s="378" t="s">
        <v>307</v>
      </c>
      <c r="AN278" s="382"/>
      <c r="AO278" s="106"/>
      <c r="AP278" s="106"/>
      <c r="BB278" s="207">
        <v>32</v>
      </c>
      <c r="BC278" s="378" t="s">
        <v>307</v>
      </c>
      <c r="BD278" s="382"/>
    </row>
    <row r="279" spans="3:56" ht="15" x14ac:dyDescent="0.2">
      <c r="C279" s="238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7"/>
      <c r="AL279" s="206">
        <v>28</v>
      </c>
      <c r="AM279" s="380" t="s">
        <v>312</v>
      </c>
      <c r="AN279" s="381"/>
      <c r="AO279" s="106"/>
      <c r="AP279" s="106"/>
      <c r="BB279" s="206">
        <v>35</v>
      </c>
      <c r="BC279" s="380" t="s">
        <v>312</v>
      </c>
      <c r="BD279" s="381"/>
    </row>
    <row r="280" spans="3:56" ht="15.75" thickBot="1" x14ac:dyDescent="0.25">
      <c r="C280" s="240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78"/>
      <c r="AL280" s="208">
        <v>32</v>
      </c>
      <c r="AM280" s="378" t="s">
        <v>317</v>
      </c>
      <c r="AN280" s="382"/>
      <c r="AO280" s="106"/>
      <c r="AP280" s="106"/>
      <c r="BB280" s="208">
        <v>39</v>
      </c>
      <c r="BC280" s="378" t="s">
        <v>317</v>
      </c>
      <c r="BD280" s="382"/>
    </row>
    <row r="281" spans="3:56" ht="15.75" thickBot="1" x14ac:dyDescent="0.25">
      <c r="C281" s="240"/>
      <c r="D281" s="221"/>
      <c r="E281" s="221"/>
      <c r="F281" s="221"/>
      <c r="G281" s="221"/>
      <c r="H281" s="377" t="s">
        <v>149</v>
      </c>
      <c r="I281" s="377"/>
      <c r="J281" s="377"/>
      <c r="K281" s="377"/>
      <c r="L281" s="313"/>
      <c r="M281" s="221"/>
      <c r="N281" s="221"/>
      <c r="O281" s="221"/>
      <c r="P281" s="278"/>
      <c r="AN281" s="106"/>
      <c r="AO281" s="106"/>
      <c r="AP281" s="106"/>
    </row>
    <row r="282" spans="3:56" ht="15.75" thickBot="1" x14ac:dyDescent="0.25">
      <c r="C282" s="240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78"/>
      <c r="AJ282" s="194"/>
      <c r="AK282" s="195"/>
      <c r="AL282" s="192" t="s">
        <v>355</v>
      </c>
      <c r="AN282" s="187"/>
      <c r="AO282" s="187"/>
      <c r="AP282" s="106"/>
      <c r="BB282" s="192" t="s">
        <v>355</v>
      </c>
    </row>
    <row r="283" spans="3:56" ht="15" x14ac:dyDescent="0.2">
      <c r="C283" s="240"/>
      <c r="D283" s="221"/>
      <c r="E283" s="221"/>
      <c r="F283" s="221"/>
      <c r="G283" s="221"/>
      <c r="H283" s="221"/>
      <c r="I283" s="221"/>
      <c r="J283" s="307" t="s">
        <v>150</v>
      </c>
      <c r="K283" s="307"/>
      <c r="L283" s="232" t="str">
        <f>IF(L281="","-",'Avaliação Física 4'!CH12)</f>
        <v>-</v>
      </c>
      <c r="M283" s="221"/>
      <c r="N283" s="221"/>
      <c r="O283" s="221"/>
      <c r="P283" s="278"/>
      <c r="AL283" s="205">
        <v>13</v>
      </c>
      <c r="AM283" s="378" t="s">
        <v>141</v>
      </c>
      <c r="AN283" s="379"/>
      <c r="AO283" s="106"/>
      <c r="AP283" s="106"/>
      <c r="BB283" s="205">
        <v>18</v>
      </c>
      <c r="BC283" s="378" t="s">
        <v>141</v>
      </c>
      <c r="BD283" s="379"/>
    </row>
    <row r="284" spans="3:56" ht="15" x14ac:dyDescent="0.2">
      <c r="C284" s="240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78"/>
      <c r="AL284" s="206">
        <v>20</v>
      </c>
      <c r="AM284" s="380" t="s">
        <v>140</v>
      </c>
      <c r="AN284" s="381"/>
      <c r="AO284" s="106"/>
      <c r="AP284" s="106"/>
      <c r="BB284" s="206">
        <v>25</v>
      </c>
      <c r="BC284" s="380" t="s">
        <v>140</v>
      </c>
      <c r="BD284" s="381"/>
    </row>
    <row r="285" spans="3:56" ht="15" x14ac:dyDescent="0.2">
      <c r="C285" s="241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80"/>
      <c r="AL285" s="207">
        <v>22</v>
      </c>
      <c r="AM285" s="378" t="s">
        <v>298</v>
      </c>
      <c r="AN285" s="382"/>
      <c r="AO285" s="106"/>
      <c r="AP285" s="106"/>
      <c r="BB285" s="207">
        <v>27</v>
      </c>
      <c r="BC285" s="378" t="s">
        <v>298</v>
      </c>
      <c r="BD285" s="382"/>
    </row>
    <row r="286" spans="3:56" ht="15" x14ac:dyDescent="0.2">
      <c r="O286" s="91"/>
      <c r="AL286" s="206">
        <v>24</v>
      </c>
      <c r="AM286" s="380" t="s">
        <v>303</v>
      </c>
      <c r="AN286" s="381"/>
      <c r="AO286" s="106"/>
      <c r="AP286" s="106"/>
      <c r="BB286" s="206">
        <v>30</v>
      </c>
      <c r="BC286" s="380" t="s">
        <v>303</v>
      </c>
      <c r="BD286" s="381"/>
    </row>
    <row r="287" spans="3:56" ht="15" x14ac:dyDescent="0.2">
      <c r="C287" s="362" t="s">
        <v>230</v>
      </c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AL287" s="207">
        <v>26</v>
      </c>
      <c r="AM287" s="378" t="s">
        <v>307</v>
      </c>
      <c r="AN287" s="382"/>
      <c r="AO287" s="106"/>
      <c r="AP287" s="106"/>
      <c r="BB287" s="207">
        <v>33</v>
      </c>
      <c r="BC287" s="378" t="s">
        <v>307</v>
      </c>
      <c r="BD287" s="382"/>
    </row>
    <row r="288" spans="3:56" ht="15" x14ac:dyDescent="0.2">
      <c r="C288" s="238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7"/>
      <c r="AL288" s="206">
        <v>28</v>
      </c>
      <c r="AM288" s="380" t="s">
        <v>312</v>
      </c>
      <c r="AN288" s="381"/>
      <c r="AO288" s="106"/>
      <c r="AP288" s="106"/>
      <c r="BB288" s="206">
        <v>36</v>
      </c>
      <c r="BC288" s="380" t="s">
        <v>312</v>
      </c>
      <c r="BD288" s="381"/>
    </row>
    <row r="289" spans="3:56" ht="15.75" thickBot="1" x14ac:dyDescent="0.25">
      <c r="C289" s="491" t="s">
        <v>275</v>
      </c>
      <c r="D289" s="492"/>
      <c r="E289" s="492"/>
      <c r="F289" s="492"/>
      <c r="G289" s="221"/>
      <c r="H289" s="355" t="s">
        <v>231</v>
      </c>
      <c r="I289" s="355"/>
      <c r="J289" s="221"/>
      <c r="K289" s="355" t="s">
        <v>198</v>
      </c>
      <c r="L289" s="355"/>
      <c r="M289" s="355"/>
      <c r="N289" s="355"/>
      <c r="O289" s="221"/>
      <c r="P289" s="278"/>
      <c r="T289" s="21"/>
      <c r="AL289" s="208">
        <v>32</v>
      </c>
      <c r="AM289" s="378" t="s">
        <v>317</v>
      </c>
      <c r="AN289" s="382"/>
      <c r="AO289" s="106"/>
      <c r="AP289" s="106"/>
      <c r="BB289" s="208">
        <v>39</v>
      </c>
      <c r="BC289" s="378" t="s">
        <v>317</v>
      </c>
      <c r="BD289" s="382"/>
    </row>
    <row r="290" spans="3:56" ht="15.75" thickBot="1" x14ac:dyDescent="0.25">
      <c r="C290" s="240"/>
      <c r="D290" s="414"/>
      <c r="E290" s="415"/>
      <c r="F290" s="221"/>
      <c r="G290" s="221"/>
      <c r="H290" s="444" t="str">
        <f>IF(D290="","-",((D290/1000)*60)/12)</f>
        <v>-</v>
      </c>
      <c r="I290" s="445"/>
      <c r="J290" s="221"/>
      <c r="K290" s="221"/>
      <c r="L290" s="427" t="str">
        <f>IF(D290="","-",('Avaliação Física 4'!D290-504)/45)</f>
        <v>-</v>
      </c>
      <c r="M290" s="428"/>
      <c r="N290" s="429"/>
      <c r="O290" s="221"/>
      <c r="P290" s="278"/>
      <c r="AN290" s="106"/>
      <c r="AO290" s="106"/>
      <c r="AP290" s="106"/>
    </row>
    <row r="291" spans="3:56" ht="15.75" thickBot="1" x14ac:dyDescent="0.25">
      <c r="C291" s="240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78"/>
      <c r="AJ291" s="194"/>
      <c r="AK291" s="195"/>
      <c r="AL291" s="192" t="s">
        <v>356</v>
      </c>
      <c r="AN291" s="187"/>
      <c r="AO291" s="187"/>
      <c r="AP291" s="106"/>
      <c r="BB291" s="192" t="s">
        <v>356</v>
      </c>
    </row>
    <row r="292" spans="3:56" ht="15" x14ac:dyDescent="0.2">
      <c r="C292" s="240"/>
      <c r="D292" s="355" t="s">
        <v>232</v>
      </c>
      <c r="E292" s="355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78"/>
      <c r="AL292" s="205">
        <v>14</v>
      </c>
      <c r="AM292" s="378" t="s">
        <v>141</v>
      </c>
      <c r="AN292" s="379"/>
      <c r="AO292" s="106"/>
      <c r="AP292" s="106"/>
      <c r="BB292" s="205">
        <v>16</v>
      </c>
      <c r="BC292" s="378" t="s">
        <v>141</v>
      </c>
      <c r="BD292" s="379"/>
    </row>
    <row r="293" spans="3:56" ht="15" x14ac:dyDescent="0.2">
      <c r="C293" s="240"/>
      <c r="D293" s="430" t="str">
        <f>IF(D290="","-",DN12)</f>
        <v>-</v>
      </c>
      <c r="E293" s="43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78"/>
      <c r="AL293" s="206">
        <v>19</v>
      </c>
      <c r="AM293" s="380" t="s">
        <v>140</v>
      </c>
      <c r="AN293" s="381"/>
      <c r="AO293" s="106"/>
      <c r="AP293" s="106"/>
      <c r="BB293" s="206">
        <v>22</v>
      </c>
      <c r="BC293" s="380" t="s">
        <v>140</v>
      </c>
      <c r="BD293" s="381"/>
    </row>
    <row r="294" spans="3:56" ht="15" x14ac:dyDescent="0.2">
      <c r="C294" s="241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80"/>
      <c r="AL294" s="207">
        <v>22</v>
      </c>
      <c r="AM294" s="378" t="s">
        <v>298</v>
      </c>
      <c r="AN294" s="382"/>
      <c r="BB294" s="207">
        <v>27</v>
      </c>
      <c r="BC294" s="378" t="s">
        <v>298</v>
      </c>
      <c r="BD294" s="382"/>
    </row>
    <row r="295" spans="3:56" ht="15" x14ac:dyDescent="0.2">
      <c r="AL295" s="206">
        <v>23</v>
      </c>
      <c r="AM295" s="380" t="s">
        <v>303</v>
      </c>
      <c r="AN295" s="381"/>
      <c r="BB295" s="206">
        <v>30</v>
      </c>
      <c r="BC295" s="380" t="s">
        <v>303</v>
      </c>
      <c r="BD295" s="381"/>
    </row>
    <row r="296" spans="3:56" ht="15" x14ac:dyDescent="0.2">
      <c r="C296" s="362" t="s">
        <v>223</v>
      </c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AL296" s="207">
        <v>25</v>
      </c>
      <c r="AM296" s="378" t="s">
        <v>307</v>
      </c>
      <c r="AN296" s="382"/>
      <c r="BB296" s="207">
        <v>32</v>
      </c>
      <c r="BC296" s="378" t="s">
        <v>307</v>
      </c>
      <c r="BD296" s="382"/>
    </row>
    <row r="297" spans="3:56" ht="15" x14ac:dyDescent="0.2">
      <c r="C297" s="447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9"/>
      <c r="Q297" s="93"/>
      <c r="R297" s="94"/>
      <c r="S297" s="94"/>
      <c r="T297" s="95"/>
      <c r="U297" s="95"/>
      <c r="V297" s="95"/>
      <c r="W297" s="95"/>
      <c r="AA297" s="95"/>
      <c r="AL297" s="206">
        <v>27</v>
      </c>
      <c r="AM297" s="380" t="s">
        <v>312</v>
      </c>
      <c r="AN297" s="381"/>
      <c r="BB297" s="206">
        <v>35</v>
      </c>
      <c r="BC297" s="380" t="s">
        <v>312</v>
      </c>
      <c r="BD297" s="381"/>
    </row>
    <row r="298" spans="3:56" ht="15.75" thickBot="1" x14ac:dyDescent="0.25">
      <c r="C298" s="450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2"/>
      <c r="Q298" s="93"/>
      <c r="R298" s="94"/>
      <c r="S298" s="94"/>
      <c r="T298" s="95"/>
      <c r="U298" s="95"/>
      <c r="V298" s="95"/>
      <c r="W298" s="95"/>
      <c r="AA298" s="95"/>
      <c r="AL298" s="208">
        <v>31</v>
      </c>
      <c r="AM298" s="378" t="s">
        <v>317</v>
      </c>
      <c r="AN298" s="382"/>
      <c r="BB298" s="208">
        <v>38</v>
      </c>
      <c r="BC298" s="378" t="s">
        <v>317</v>
      </c>
      <c r="BD298" s="382"/>
    </row>
    <row r="299" spans="3:56" ht="15" x14ac:dyDescent="0.2">
      <c r="C299" s="450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2"/>
      <c r="Q299" s="93"/>
      <c r="R299" s="94"/>
      <c r="S299" s="94"/>
      <c r="T299" s="99"/>
      <c r="U299" s="95"/>
      <c r="V299" s="95"/>
      <c r="W299" s="95"/>
      <c r="AA299" s="95"/>
    </row>
    <row r="300" spans="3:56" ht="15" x14ac:dyDescent="0.2">
      <c r="C300" s="450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2"/>
      <c r="Q300" s="96"/>
      <c r="R300" s="94"/>
      <c r="S300" s="94"/>
      <c r="T300" s="95"/>
      <c r="U300" s="95"/>
      <c r="V300" s="95"/>
      <c r="W300" s="95"/>
      <c r="AA300" s="95"/>
    </row>
    <row r="301" spans="3:56" ht="15" x14ac:dyDescent="0.2">
      <c r="C301" s="450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2"/>
      <c r="Q301" s="93"/>
      <c r="R301" s="94"/>
      <c r="S301" s="94"/>
      <c r="T301" s="95"/>
      <c r="U301" s="95"/>
      <c r="V301" s="95"/>
      <c r="W301" s="95"/>
      <c r="X301" s="95"/>
      <c r="Y301" s="95"/>
      <c r="Z301" s="95"/>
      <c r="AA301" s="95"/>
    </row>
    <row r="302" spans="3:56" ht="15" x14ac:dyDescent="0.2">
      <c r="C302" s="450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2"/>
      <c r="Q302" s="93"/>
      <c r="R302" s="94"/>
      <c r="S302" s="94"/>
      <c r="T302" s="95"/>
      <c r="U302" s="95"/>
      <c r="V302" s="95"/>
      <c r="W302" s="95"/>
      <c r="X302" s="95"/>
      <c r="Y302" s="95"/>
      <c r="Z302" s="95"/>
      <c r="AA302" s="95"/>
    </row>
    <row r="303" spans="3:56" ht="15" x14ac:dyDescent="0.2">
      <c r="C303" s="450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2"/>
      <c r="Q303" s="93"/>
      <c r="R303" s="94"/>
      <c r="S303" s="94"/>
      <c r="T303" s="95"/>
      <c r="U303" s="95"/>
      <c r="V303" s="95"/>
      <c r="W303" s="95"/>
      <c r="X303" s="95"/>
      <c r="Y303" s="95"/>
      <c r="Z303" s="95"/>
      <c r="AA303" s="95"/>
    </row>
    <row r="304" spans="3:56" ht="15" x14ac:dyDescent="0.2">
      <c r="C304" s="450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2"/>
      <c r="Q304" s="93"/>
      <c r="R304" s="94"/>
      <c r="S304" s="94"/>
      <c r="T304" s="95"/>
      <c r="U304" s="95"/>
      <c r="V304" s="95"/>
      <c r="W304" s="95"/>
      <c r="X304" s="408"/>
      <c r="Y304" s="409"/>
      <c r="Z304" s="95"/>
      <c r="AA304" s="95"/>
    </row>
    <row r="305" spans="3:27" ht="15" x14ac:dyDescent="0.2">
      <c r="C305" s="450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2"/>
      <c r="Q305" s="93"/>
      <c r="R305" s="94"/>
      <c r="S305" s="94"/>
      <c r="T305" s="95"/>
      <c r="U305" s="95"/>
      <c r="V305" s="95"/>
      <c r="W305" s="95"/>
      <c r="X305" s="95"/>
      <c r="Y305" s="95"/>
      <c r="Z305" s="95"/>
      <c r="AA305" s="95"/>
    </row>
    <row r="306" spans="3:27" ht="15" x14ac:dyDescent="0.2">
      <c r="C306" s="450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2"/>
      <c r="Q306" s="93"/>
      <c r="R306" s="94"/>
      <c r="S306" s="94"/>
      <c r="T306" s="95"/>
      <c r="U306" s="95"/>
      <c r="V306" s="95"/>
      <c r="W306" s="95"/>
      <c r="X306" s="95"/>
      <c r="Y306" s="95"/>
      <c r="Z306" s="95"/>
      <c r="AA306" s="95"/>
    </row>
    <row r="307" spans="3:27" ht="15" x14ac:dyDescent="0.2">
      <c r="C307" s="450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2"/>
      <c r="Q307" s="93"/>
      <c r="R307" s="94"/>
      <c r="S307" s="94"/>
      <c r="T307" s="95"/>
      <c r="U307" s="95"/>
      <c r="V307" s="95"/>
      <c r="W307" s="95"/>
      <c r="X307" s="95"/>
      <c r="Y307" s="95"/>
      <c r="Z307" s="95"/>
      <c r="AA307" s="95"/>
    </row>
    <row r="308" spans="3:27" ht="15" x14ac:dyDescent="0.2">
      <c r="C308" s="450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2"/>
      <c r="Q308" s="93"/>
      <c r="R308" s="94"/>
      <c r="S308" s="94"/>
      <c r="T308" s="95"/>
      <c r="U308" s="95"/>
      <c r="V308" s="95"/>
      <c r="W308" s="95"/>
      <c r="X308" s="95"/>
      <c r="Y308" s="95"/>
      <c r="Z308" s="95"/>
      <c r="AA308" s="95"/>
    </row>
    <row r="309" spans="3:27" ht="15" x14ac:dyDescent="0.2">
      <c r="C309" s="450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2"/>
      <c r="Q309" s="93"/>
      <c r="R309" s="94"/>
      <c r="S309" s="94"/>
      <c r="T309" s="95"/>
      <c r="U309" s="95"/>
      <c r="V309" s="95"/>
      <c r="W309" s="95"/>
      <c r="X309" s="95"/>
      <c r="Y309" s="95"/>
      <c r="Z309" s="95"/>
      <c r="AA309" s="95"/>
    </row>
    <row r="310" spans="3:27" ht="15" x14ac:dyDescent="0.2">
      <c r="C310" s="450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2"/>
      <c r="Q310" s="93"/>
      <c r="R310" s="94"/>
      <c r="S310" s="94"/>
      <c r="T310" s="95"/>
      <c r="U310" s="95"/>
      <c r="V310" s="95"/>
      <c r="W310" s="95"/>
      <c r="X310" s="95"/>
      <c r="Y310" s="95"/>
      <c r="Z310" s="95"/>
      <c r="AA310" s="95"/>
    </row>
    <row r="311" spans="3:27" ht="15" x14ac:dyDescent="0.2">
      <c r="C311" s="450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2"/>
      <c r="Q311" s="93"/>
      <c r="R311" s="96"/>
      <c r="S311" s="94"/>
      <c r="T311" s="97"/>
      <c r="U311" s="97"/>
      <c r="V311" s="97"/>
      <c r="W311" s="97"/>
      <c r="X311" s="100"/>
      <c r="Y311" s="100"/>
      <c r="Z311" s="95"/>
      <c r="AA311" s="97"/>
    </row>
    <row r="312" spans="3:27" ht="15" x14ac:dyDescent="0.2">
      <c r="C312" s="450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2"/>
      <c r="Q312" s="93"/>
      <c r="R312" s="96"/>
      <c r="S312" s="96"/>
      <c r="T312" s="96"/>
      <c r="U312" s="96"/>
      <c r="V312" s="96"/>
      <c r="W312" s="311"/>
      <c r="X312" s="95"/>
      <c r="Y312" s="95"/>
      <c r="Z312" s="95"/>
      <c r="AA312" s="97"/>
    </row>
    <row r="313" spans="3:27" ht="15" x14ac:dyDescent="0.2">
      <c r="C313" s="450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2"/>
      <c r="Q313" s="93"/>
      <c r="R313" s="94"/>
      <c r="S313" s="94"/>
      <c r="T313" s="97"/>
      <c r="U313" s="97"/>
      <c r="V313" s="97"/>
      <c r="W313" s="97"/>
      <c r="X313" s="95"/>
      <c r="Y313" s="95"/>
      <c r="Z313" s="95"/>
      <c r="AA313" s="97"/>
    </row>
    <row r="314" spans="3:27" ht="15" x14ac:dyDescent="0.2">
      <c r="C314" s="450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2"/>
      <c r="Q314" s="93"/>
      <c r="R314" s="94"/>
      <c r="S314" s="94"/>
      <c r="T314" s="97"/>
      <c r="U314" s="97"/>
      <c r="V314" s="97"/>
      <c r="W314" s="97"/>
      <c r="X314" s="95"/>
      <c r="Y314" s="95"/>
      <c r="Z314" s="95"/>
      <c r="AA314" s="97"/>
    </row>
    <row r="315" spans="3:27" ht="15" x14ac:dyDescent="0.2">
      <c r="C315" s="450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2"/>
      <c r="Q315" s="93"/>
      <c r="R315" s="94"/>
      <c r="S315" s="94"/>
      <c r="T315" s="97"/>
      <c r="U315" s="97"/>
      <c r="V315" s="97"/>
      <c r="W315" s="97"/>
      <c r="X315" s="441"/>
      <c r="Y315" s="441"/>
      <c r="Z315" s="96"/>
      <c r="AA315" s="97"/>
    </row>
    <row r="316" spans="3:27" ht="15" x14ac:dyDescent="0.2">
      <c r="C316" s="453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5"/>
      <c r="Q316" s="93"/>
      <c r="R316" s="94"/>
      <c r="S316" s="94"/>
      <c r="T316" s="97"/>
      <c r="U316" s="97"/>
      <c r="V316" s="97"/>
      <c r="W316" s="97"/>
      <c r="X316" s="97"/>
      <c r="Y316" s="97"/>
      <c r="Z316" s="97"/>
      <c r="AA316" s="97"/>
    </row>
    <row r="317" spans="3:27" ht="15" x14ac:dyDescent="0.2">
      <c r="O317" s="103"/>
      <c r="P317" s="103"/>
      <c r="Q317" s="103"/>
      <c r="R317" s="103"/>
      <c r="S317" s="103"/>
      <c r="T317" s="103"/>
      <c r="U317" s="103"/>
      <c r="V317" s="103"/>
      <c r="W317" s="103"/>
      <c r="X317" s="93"/>
      <c r="Y317" s="97"/>
      <c r="Z317" s="97"/>
      <c r="AA317" s="95"/>
    </row>
    <row r="318" spans="3:27" ht="15" x14ac:dyDescent="0.2">
      <c r="D318" s="442" t="s">
        <v>215</v>
      </c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103"/>
      <c r="P318" s="103"/>
      <c r="Q318" s="103"/>
      <c r="R318" s="103"/>
      <c r="S318" s="103"/>
      <c r="T318" s="103"/>
      <c r="U318" s="103"/>
      <c r="V318" s="103"/>
      <c r="W318" s="103"/>
      <c r="X318" s="93"/>
      <c r="Y318" s="97"/>
      <c r="Z318" s="97"/>
      <c r="AA318" s="95"/>
    </row>
    <row r="319" spans="3:27" ht="15" x14ac:dyDescent="0.2">
      <c r="D319" s="442" t="s">
        <v>216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104"/>
      <c r="P319" s="104"/>
      <c r="Q319" s="104"/>
      <c r="R319" s="104"/>
      <c r="S319" s="104"/>
      <c r="T319" s="104"/>
      <c r="U319" s="104"/>
      <c r="V319" s="104"/>
      <c r="W319" s="104"/>
      <c r="X319" s="93"/>
      <c r="Y319" s="97"/>
      <c r="Z319" s="97"/>
      <c r="AA319" s="101"/>
    </row>
    <row r="320" spans="3:27" ht="15" x14ac:dyDescent="0.2">
      <c r="D320" s="443" t="s">
        <v>217</v>
      </c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101"/>
      <c r="P320" s="101"/>
      <c r="Q320" s="101"/>
      <c r="R320" s="101"/>
      <c r="S320" s="101"/>
      <c r="T320" s="101"/>
      <c r="U320" s="101"/>
      <c r="V320" s="101"/>
      <c r="W320" s="101"/>
      <c r="X320" s="93"/>
      <c r="Y320" s="97"/>
      <c r="Z320" s="97"/>
      <c r="AA320" s="101"/>
    </row>
    <row r="321" spans="4:27" ht="15" x14ac:dyDescent="0.2"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3"/>
      <c r="Y321" s="103"/>
      <c r="Z321" s="103"/>
      <c r="AA321" s="101"/>
    </row>
    <row r="322" spans="4:27" ht="15" x14ac:dyDescent="0.2">
      <c r="D322" s="101"/>
      <c r="E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3"/>
      <c r="Y322" s="103"/>
      <c r="Z322" s="103"/>
      <c r="AA322" s="101"/>
    </row>
    <row r="323" spans="4:27" ht="15" x14ac:dyDescent="0.2">
      <c r="F323" s="404"/>
      <c r="G323" s="404"/>
      <c r="H323" s="404"/>
      <c r="I323" s="404"/>
      <c r="J323" s="404"/>
      <c r="K323" s="404"/>
      <c r="L323" s="404"/>
      <c r="X323" s="104"/>
      <c r="Y323" s="104"/>
      <c r="Z323" s="104"/>
    </row>
    <row r="324" spans="4:27" ht="15" x14ac:dyDescent="0.2">
      <c r="X324" s="101"/>
      <c r="Y324" s="101"/>
      <c r="Z324" s="101"/>
    </row>
    <row r="325" spans="4:27" ht="15" hidden="1" x14ac:dyDescent="0.2">
      <c r="X325" s="101"/>
      <c r="Y325" s="101"/>
      <c r="Z325" s="101"/>
    </row>
    <row r="326" spans="4:27" ht="15" hidden="1" x14ac:dyDescent="0.2">
      <c r="X326" s="101"/>
      <c r="Y326" s="101"/>
      <c r="Z326" s="101"/>
    </row>
    <row r="327" spans="4:27" ht="15" hidden="1" x14ac:dyDescent="0.2"/>
    <row r="328" spans="4:27" ht="15" hidden="1" x14ac:dyDescent="0.2"/>
  </sheetData>
  <sheetProtection algorithmName="SHA-512" hashValue="TzUDAe/7bwtobccgDZppJnIei0RcCDpPJA3IcppDWIcn4wKI1tR6WCXlTiNpBADyas3NXxO+yYACSEvf48Scgg==" saltValue="87pty4utjIFMGY1cDNK5PA==" spinCount="100000" sheet="1" formatCells="0" selectLockedCells="1"/>
  <mergeCells count="339">
    <mergeCell ref="K6:M6"/>
    <mergeCell ref="C7:P7"/>
    <mergeCell ref="ED8:EE8"/>
    <mergeCell ref="D9:H9"/>
    <mergeCell ref="DT9:DU9"/>
    <mergeCell ref="DX9:DY9"/>
    <mergeCell ref="EL12:EN12"/>
    <mergeCell ref="DT14:DV14"/>
    <mergeCell ref="D15:F15"/>
    <mergeCell ref="H15:J15"/>
    <mergeCell ref="DT15:DU15"/>
    <mergeCell ref="EL15:EN15"/>
    <mergeCell ref="DT10:DV10"/>
    <mergeCell ref="EB10:ED10"/>
    <mergeCell ref="DT11:DU11"/>
    <mergeCell ref="DX11:DY11"/>
    <mergeCell ref="EB11:ED11"/>
    <mergeCell ref="D12:H12"/>
    <mergeCell ref="J12:L12"/>
    <mergeCell ref="DT12:DU12"/>
    <mergeCell ref="DT21:DU21"/>
    <mergeCell ref="C23:P23"/>
    <mergeCell ref="DT23:DU23"/>
    <mergeCell ref="J25:N25"/>
    <mergeCell ref="J26:N26"/>
    <mergeCell ref="DT26:DU26"/>
    <mergeCell ref="DT16:DU16"/>
    <mergeCell ref="DT17:DU17"/>
    <mergeCell ref="C18:P18"/>
    <mergeCell ref="DT18:DU18"/>
    <mergeCell ref="DT19:DU19"/>
    <mergeCell ref="DT20:DU20"/>
    <mergeCell ref="J31:N31"/>
    <mergeCell ref="EI31:EJ31"/>
    <mergeCell ref="J32:N32"/>
    <mergeCell ref="EI32:EJ32"/>
    <mergeCell ref="J33:N33"/>
    <mergeCell ref="J34:N34"/>
    <mergeCell ref="J27:N27"/>
    <mergeCell ref="DT27:DU27"/>
    <mergeCell ref="J28:N28"/>
    <mergeCell ref="DT28:DU28"/>
    <mergeCell ref="J29:N29"/>
    <mergeCell ref="J30:N30"/>
    <mergeCell ref="D42:E42"/>
    <mergeCell ref="F42:N42"/>
    <mergeCell ref="D43:E43"/>
    <mergeCell ref="F43:N43"/>
    <mergeCell ref="EI43:EJ43"/>
    <mergeCell ref="D44:E44"/>
    <mergeCell ref="F44:N44"/>
    <mergeCell ref="EI36:EJ36"/>
    <mergeCell ref="D38:E38"/>
    <mergeCell ref="F38:N38"/>
    <mergeCell ref="D39:E39"/>
    <mergeCell ref="F39:N39"/>
    <mergeCell ref="EI40:EJ40"/>
    <mergeCell ref="D61:J62"/>
    <mergeCell ref="D64:J64"/>
    <mergeCell ref="C67:P67"/>
    <mergeCell ref="J70:K70"/>
    <mergeCell ref="D72:E72"/>
    <mergeCell ref="H72:I72"/>
    <mergeCell ref="K72:M72"/>
    <mergeCell ref="C47:P47"/>
    <mergeCell ref="D49:K50"/>
    <mergeCell ref="D52:J52"/>
    <mergeCell ref="D54:J54"/>
    <mergeCell ref="D56:J56"/>
    <mergeCell ref="D58:J59"/>
    <mergeCell ref="D78:E78"/>
    <mergeCell ref="H78:I78"/>
    <mergeCell ref="L78:M78"/>
    <mergeCell ref="D79:E79"/>
    <mergeCell ref="H79:I79"/>
    <mergeCell ref="L79:M79"/>
    <mergeCell ref="D74:D75"/>
    <mergeCell ref="E75:J75"/>
    <mergeCell ref="D76:N76"/>
    <mergeCell ref="D77:E77"/>
    <mergeCell ref="H77:I77"/>
    <mergeCell ref="L77:M77"/>
    <mergeCell ref="D85:E85"/>
    <mergeCell ref="H85:I85"/>
    <mergeCell ref="D86:E86"/>
    <mergeCell ref="H86:I86"/>
    <mergeCell ref="D87:E87"/>
    <mergeCell ref="H87:I87"/>
    <mergeCell ref="W80:X80"/>
    <mergeCell ref="L81:M81"/>
    <mergeCell ref="W81:X81"/>
    <mergeCell ref="D82:N82"/>
    <mergeCell ref="D84:E84"/>
    <mergeCell ref="H84:I84"/>
    <mergeCell ref="E91:F91"/>
    <mergeCell ref="I91:J91"/>
    <mergeCell ref="Y91:AA91"/>
    <mergeCell ref="Y92:AA92"/>
    <mergeCell ref="D93:L93"/>
    <mergeCell ref="Y93:AA93"/>
    <mergeCell ref="D88:E88"/>
    <mergeCell ref="H88:I88"/>
    <mergeCell ref="Y88:AA88"/>
    <mergeCell ref="Y89:AA89"/>
    <mergeCell ref="H90:I90"/>
    <mergeCell ref="Y90:AA90"/>
    <mergeCell ref="Y96:AA96"/>
    <mergeCell ref="D97:N97"/>
    <mergeCell ref="D98:E98"/>
    <mergeCell ref="H98:I98"/>
    <mergeCell ref="L98:N98"/>
    <mergeCell ref="D99:E99"/>
    <mergeCell ref="H99:I99"/>
    <mergeCell ref="L99:N99"/>
    <mergeCell ref="D94:F94"/>
    <mergeCell ref="G94:H94"/>
    <mergeCell ref="K94:L94"/>
    <mergeCell ref="Y94:AA94"/>
    <mergeCell ref="D95:F95"/>
    <mergeCell ref="G95:H95"/>
    <mergeCell ref="Y95:AA95"/>
    <mergeCell ref="T119:U119"/>
    <mergeCell ref="D120:E120"/>
    <mergeCell ref="G120:H120"/>
    <mergeCell ref="J120:P120"/>
    <mergeCell ref="C100:E100"/>
    <mergeCell ref="D101:E101"/>
    <mergeCell ref="H101:I101"/>
    <mergeCell ref="L101:N101"/>
    <mergeCell ref="C116:P116"/>
    <mergeCell ref="D118:E118"/>
    <mergeCell ref="G118:H118"/>
    <mergeCell ref="J118:O118"/>
    <mergeCell ref="D121:E121"/>
    <mergeCell ref="G121:H121"/>
    <mergeCell ref="L121:O121"/>
    <mergeCell ref="D125:E125"/>
    <mergeCell ref="J125:K125"/>
    <mergeCell ref="M125:N125"/>
    <mergeCell ref="D119:E119"/>
    <mergeCell ref="G119:H119"/>
    <mergeCell ref="L119:O119"/>
    <mergeCell ref="T126:V126"/>
    <mergeCell ref="C148:P148"/>
    <mergeCell ref="J149:P163"/>
    <mergeCell ref="F150:H150"/>
    <mergeCell ref="F151:H151"/>
    <mergeCell ref="F152:H152"/>
    <mergeCell ref="F153:H153"/>
    <mergeCell ref="F154:H154"/>
    <mergeCell ref="F155:H155"/>
    <mergeCell ref="F156:H156"/>
    <mergeCell ref="C168:P168"/>
    <mergeCell ref="D170:O170"/>
    <mergeCell ref="K171:L171"/>
    <mergeCell ref="N171:O171"/>
    <mergeCell ref="D188:H188"/>
    <mergeCell ref="J188:O188"/>
    <mergeCell ref="F157:H157"/>
    <mergeCell ref="F158:H158"/>
    <mergeCell ref="F159:H159"/>
    <mergeCell ref="F160:H160"/>
    <mergeCell ref="F161:H161"/>
    <mergeCell ref="F162:H162"/>
    <mergeCell ref="C220:E222"/>
    <mergeCell ref="M220:M222"/>
    <mergeCell ref="N220:N222"/>
    <mergeCell ref="C223:E225"/>
    <mergeCell ref="M223:M225"/>
    <mergeCell ref="N223:N225"/>
    <mergeCell ref="N189:O189"/>
    <mergeCell ref="C217:P217"/>
    <mergeCell ref="F219:G219"/>
    <mergeCell ref="H219:I219"/>
    <mergeCell ref="J219:K219"/>
    <mergeCell ref="L219:M219"/>
    <mergeCell ref="C229:E231"/>
    <mergeCell ref="M229:M231"/>
    <mergeCell ref="N229:N231"/>
    <mergeCell ref="C232:E234"/>
    <mergeCell ref="M232:M234"/>
    <mergeCell ref="N232:N234"/>
    <mergeCell ref="AJ225:BS225"/>
    <mergeCell ref="C226:E228"/>
    <mergeCell ref="M226:M228"/>
    <mergeCell ref="N226:N228"/>
    <mergeCell ref="AJ226:AO226"/>
    <mergeCell ref="AP226:AT226"/>
    <mergeCell ref="C238:E240"/>
    <mergeCell ref="M238:M240"/>
    <mergeCell ref="N238:N240"/>
    <mergeCell ref="AJ238:AO238"/>
    <mergeCell ref="AJ239:AO239"/>
    <mergeCell ref="AJ240:AO240"/>
    <mergeCell ref="AJ234:BS234"/>
    <mergeCell ref="C235:E237"/>
    <mergeCell ref="M235:M237"/>
    <mergeCell ref="N235:N237"/>
    <mergeCell ref="AJ235:AO235"/>
    <mergeCell ref="AJ236:AO236"/>
    <mergeCell ref="AJ237:AO237"/>
    <mergeCell ref="C241:E243"/>
    <mergeCell ref="M241:M243"/>
    <mergeCell ref="N241:N243"/>
    <mergeCell ref="AJ241:AO241"/>
    <mergeCell ref="AJ242:AO242"/>
    <mergeCell ref="C244:E246"/>
    <mergeCell ref="M244:M246"/>
    <mergeCell ref="N244:N246"/>
    <mergeCell ref="AJ245:AL245"/>
    <mergeCell ref="BB245:BD245"/>
    <mergeCell ref="C247:E249"/>
    <mergeCell ref="M247:M249"/>
    <mergeCell ref="N247:N249"/>
    <mergeCell ref="AM247:AN247"/>
    <mergeCell ref="BC247:BD247"/>
    <mergeCell ref="AM248:AN248"/>
    <mergeCell ref="BC248:BD248"/>
    <mergeCell ref="AM249:AN249"/>
    <mergeCell ref="BC249:BD249"/>
    <mergeCell ref="C250:E252"/>
    <mergeCell ref="M250:M252"/>
    <mergeCell ref="N250:N252"/>
    <mergeCell ref="AM250:AN250"/>
    <mergeCell ref="BC250:BD250"/>
    <mergeCell ref="AM251:AN251"/>
    <mergeCell ref="BC251:BD251"/>
    <mergeCell ref="AM252:AN252"/>
    <mergeCell ref="BC252:BD252"/>
    <mergeCell ref="C253:E255"/>
    <mergeCell ref="M253:M255"/>
    <mergeCell ref="N253:N255"/>
    <mergeCell ref="AM253:AN253"/>
    <mergeCell ref="BC253:BD253"/>
    <mergeCell ref="C256:E258"/>
    <mergeCell ref="M256:M258"/>
    <mergeCell ref="N256:N258"/>
    <mergeCell ref="AM256:AN256"/>
    <mergeCell ref="BC256:BD256"/>
    <mergeCell ref="AM257:AN257"/>
    <mergeCell ref="BC257:BD257"/>
    <mergeCell ref="AM258:AN258"/>
    <mergeCell ref="AU258:AV258"/>
    <mergeCell ref="BC258:BD258"/>
    <mergeCell ref="C259:E261"/>
    <mergeCell ref="M259:M261"/>
    <mergeCell ref="N259:N261"/>
    <mergeCell ref="AM259:AN259"/>
    <mergeCell ref="BC259:BD259"/>
    <mergeCell ref="AM265:AN265"/>
    <mergeCell ref="BC265:BD265"/>
    <mergeCell ref="C266:F266"/>
    <mergeCell ref="G266:H266"/>
    <mergeCell ref="K266:L266"/>
    <mergeCell ref="M266:N266"/>
    <mergeCell ref="AM266:AN266"/>
    <mergeCell ref="BC266:BD266"/>
    <mergeCell ref="AM260:AN260"/>
    <mergeCell ref="BC260:BD260"/>
    <mergeCell ref="AM261:AN261"/>
    <mergeCell ref="BC261:BD261"/>
    <mergeCell ref="C262:E264"/>
    <mergeCell ref="M262:M264"/>
    <mergeCell ref="N262:N264"/>
    <mergeCell ref="AM262:AN262"/>
    <mergeCell ref="BC262:BD262"/>
    <mergeCell ref="H272:K272"/>
    <mergeCell ref="AM274:AN274"/>
    <mergeCell ref="BC274:BD274"/>
    <mergeCell ref="AM267:AN267"/>
    <mergeCell ref="BC267:BD267"/>
    <mergeCell ref="AM268:AN268"/>
    <mergeCell ref="BC268:BD268"/>
    <mergeCell ref="C269:P269"/>
    <mergeCell ref="AM269:AN269"/>
    <mergeCell ref="BC269:BD269"/>
    <mergeCell ref="AM275:AN275"/>
    <mergeCell ref="BC275:BD275"/>
    <mergeCell ref="AM276:AN276"/>
    <mergeCell ref="BC276:BD276"/>
    <mergeCell ref="AM277:AN277"/>
    <mergeCell ref="BC277:BD277"/>
    <mergeCell ref="AM270:AN270"/>
    <mergeCell ref="BC270:BD270"/>
    <mergeCell ref="AM271:AN271"/>
    <mergeCell ref="BC271:BD271"/>
    <mergeCell ref="H281:K281"/>
    <mergeCell ref="AM283:AN283"/>
    <mergeCell ref="BC283:BD283"/>
    <mergeCell ref="AM284:AN284"/>
    <mergeCell ref="BC284:BD284"/>
    <mergeCell ref="AM285:AN285"/>
    <mergeCell ref="BC285:BD285"/>
    <mergeCell ref="C278:P278"/>
    <mergeCell ref="AM278:AN278"/>
    <mergeCell ref="BC278:BD278"/>
    <mergeCell ref="AM279:AN279"/>
    <mergeCell ref="BC279:BD279"/>
    <mergeCell ref="AM280:AN280"/>
    <mergeCell ref="BC280:BD280"/>
    <mergeCell ref="C289:F289"/>
    <mergeCell ref="H289:I289"/>
    <mergeCell ref="K289:N289"/>
    <mergeCell ref="AM289:AN289"/>
    <mergeCell ref="BC289:BD289"/>
    <mergeCell ref="D290:E290"/>
    <mergeCell ref="H290:I290"/>
    <mergeCell ref="L290:N290"/>
    <mergeCell ref="AM286:AN286"/>
    <mergeCell ref="BC286:BD286"/>
    <mergeCell ref="C287:P287"/>
    <mergeCell ref="AM287:AN287"/>
    <mergeCell ref="BC287:BD287"/>
    <mergeCell ref="AM288:AN288"/>
    <mergeCell ref="BC288:BD288"/>
    <mergeCell ref="AM294:AN294"/>
    <mergeCell ref="BC294:BD294"/>
    <mergeCell ref="AM295:AN295"/>
    <mergeCell ref="BC295:BD295"/>
    <mergeCell ref="C296:P296"/>
    <mergeCell ref="AM296:AN296"/>
    <mergeCell ref="BC296:BD296"/>
    <mergeCell ref="D292:E292"/>
    <mergeCell ref="AM292:AN292"/>
    <mergeCell ref="BC292:BD292"/>
    <mergeCell ref="D293:E293"/>
    <mergeCell ref="AM293:AN293"/>
    <mergeCell ref="BC293:BD293"/>
    <mergeCell ref="D318:N318"/>
    <mergeCell ref="D319:N319"/>
    <mergeCell ref="D320:N320"/>
    <mergeCell ref="F323:L323"/>
    <mergeCell ref="C297:P316"/>
    <mergeCell ref="AM297:AN297"/>
    <mergeCell ref="BC297:BD297"/>
    <mergeCell ref="AM298:AN298"/>
    <mergeCell ref="BC298:BD298"/>
    <mergeCell ref="X304:Y304"/>
    <mergeCell ref="X315:Y315"/>
  </mergeCells>
  <conditionalFormatting sqref="L101:N101">
    <cfRule type="cellIs" dxfId="86" priority="13" operator="equal">
      <formula>"obesidade muito alta"</formula>
    </cfRule>
    <cfRule type="cellIs" dxfId="85" priority="14" operator="equal">
      <formula>"obesidade alta"</formula>
    </cfRule>
    <cfRule type="cellIs" dxfId="84" priority="15" operator="equal">
      <formula>"obesidade moderada"</formula>
    </cfRule>
    <cfRule type="cellIs" dxfId="83" priority="16" operator="equal">
      <formula>"pré-obesidade"</formula>
    </cfRule>
    <cfRule type="cellIs" dxfId="82" priority="17" operator="equal">
      <formula>"peso normal"</formula>
    </cfRule>
    <cfRule type="cellIs" dxfId="81" priority="18" operator="equal">
      <formula>"baixo peso leve"</formula>
    </cfRule>
    <cfRule type="cellIs" dxfId="80" priority="19" operator="equal">
      <formula>"baixo peso moderado"</formula>
    </cfRule>
    <cfRule type="cellIs" dxfId="79" priority="20" operator="equal">
      <formula>"baixo peso severo"</formula>
    </cfRule>
  </conditionalFormatting>
  <conditionalFormatting sqref="BH95">
    <cfRule type="cellIs" dxfId="78" priority="9" operator="equal">
      <formula>"Endomorfo"</formula>
    </cfRule>
  </conditionalFormatting>
  <conditionalFormatting sqref="BC62:BE62">
    <cfRule type="expression" dxfId="77" priority="12">
      <formula>$Z$47&gt;$Z$48=$Z$49</formula>
    </cfRule>
  </conditionalFormatting>
  <conditionalFormatting sqref="BC104:BE104">
    <cfRule type="expression" dxfId="76" priority="11" stopIfTrue="1">
      <formula>$AA$86=$AB$86=$AC$86</formula>
    </cfRule>
  </conditionalFormatting>
  <conditionalFormatting sqref="BI98">
    <cfRule type="expression" priority="10" stopIfTrue="1">
      <formula>"$AA$82&gt;$AB$82=$AC$82;""ENDOMORFO"""</formula>
    </cfRule>
  </conditionalFormatting>
  <conditionalFormatting sqref="EB11:ED11">
    <cfRule type="cellIs" dxfId="75" priority="1" operator="equal">
      <formula>"obesidade muito alta"</formula>
    </cfRule>
    <cfRule type="cellIs" dxfId="74" priority="2" operator="equal">
      <formula>"obesidade alta"</formula>
    </cfRule>
    <cfRule type="cellIs" dxfId="73" priority="3" operator="equal">
      <formula>"obesidade moderada"</formula>
    </cfRule>
    <cfRule type="cellIs" dxfId="72" priority="4" operator="equal">
      <formula>"pré-obesidade"</formula>
    </cfRule>
    <cfRule type="cellIs" dxfId="71" priority="5" operator="equal">
      <formula>"peso normal"</formula>
    </cfRule>
    <cfRule type="cellIs" dxfId="70" priority="6" operator="equal">
      <formula>"baixo peso leve"</formula>
    </cfRule>
    <cfRule type="cellIs" dxfId="69" priority="7" operator="equal">
      <formula>"baixo peso moderado"</formula>
    </cfRule>
    <cfRule type="cellIs" dxfId="68" priority="8" operator="equal">
      <formula>"baixo peso severo"</formula>
    </cfRule>
  </conditionalFormatting>
  <dataValidations count="2">
    <dataValidation type="list" allowBlank="1" showInputMessage="1" showErrorMessage="1" sqref="E75:J75" xr:uid="{D55EB738-45C0-487C-84B8-16A452AD6DB7}">
      <formula1>$S$67:$S$75</formula1>
    </dataValidation>
    <dataValidation type="list" allowBlank="1" showInputMessage="1" showErrorMessage="1" sqref="L9" xr:uid="{2C01F740-98DE-44D2-9B05-492CC6DBDC21}">
      <formula1>"Feminino, Masculino"</formula1>
    </dataValidation>
  </dataValidations>
  <printOptions horizontalCentered="1"/>
  <pageMargins left="0.31496062992125984" right="0.11811023622047245" top="0.31496062992125984" bottom="0.31496062992125984" header="0.31496062992125984" footer="0.31496062992125984"/>
  <pageSetup paperSize="9" scale="90" fitToHeight="0" orientation="portrait" r:id="rId1"/>
  <headerFooter differentFirst="1"/>
  <rowBreaks count="4" manualBreakCount="4">
    <brk id="65" min="1" max="16" man="1"/>
    <brk id="121" min="1" max="16" man="1"/>
    <brk id="213" min="1" max="16" man="1"/>
    <brk id="26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Caixa de seleção 2">
              <controlPr defaultSize="0" autoFill="0" autoLine="0" autoPict="0">
                <anchor moveWithCells="1">
                  <from>
                    <xdr:col>3</xdr:col>
                    <xdr:colOff>83820</xdr:colOff>
                    <xdr:row>18</xdr:row>
                    <xdr:rowOff>91440</xdr:rowOff>
                  </from>
                  <to>
                    <xdr:col>3</xdr:col>
                    <xdr:colOff>975360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5" name="Caixa de seleção 3">
              <controlPr defaultSize="0" autoFill="0" autoLine="0" autoPict="0">
                <anchor moveWithCells="1">
                  <from>
                    <xdr:col>4</xdr:col>
                    <xdr:colOff>7620</xdr:colOff>
                    <xdr:row>18</xdr:row>
                    <xdr:rowOff>91440</xdr:rowOff>
                  </from>
                  <to>
                    <xdr:col>5</xdr:col>
                    <xdr:colOff>731520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3" r:id="rId6" name="Caixa de seleção 4">
              <controlPr defaultSize="0" autoFill="0" autoLine="0" autoPict="0">
                <anchor moveWithCells="1">
                  <from>
                    <xdr:col>8</xdr:col>
                    <xdr:colOff>175260</xdr:colOff>
                    <xdr:row>18</xdr:row>
                    <xdr:rowOff>91440</xdr:rowOff>
                  </from>
                  <to>
                    <xdr:col>9</xdr:col>
                    <xdr:colOff>1089660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7" name="Caixa de seleção 5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91440</xdr:rowOff>
                  </from>
                  <to>
                    <xdr:col>7</xdr:col>
                    <xdr:colOff>990600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5" r:id="rId8" name="Caixa de seleção 6">
              <controlPr defaultSize="0" autoFill="0" autoLine="0" autoPict="0">
                <anchor moveWithCells="1">
                  <from>
                    <xdr:col>11</xdr:col>
                    <xdr:colOff>76200</xdr:colOff>
                    <xdr:row>18</xdr:row>
                    <xdr:rowOff>91440</xdr:rowOff>
                  </from>
                  <to>
                    <xdr:col>12</xdr:col>
                    <xdr:colOff>60960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6" r:id="rId9" name="Caixa de seleção 6">
              <controlPr defaultSize="0" autoFill="0" autoLine="0" autoPict="0">
                <anchor moveWithCells="1">
                  <from>
                    <xdr:col>13</xdr:col>
                    <xdr:colOff>137160</xdr:colOff>
                    <xdr:row>18</xdr:row>
                    <xdr:rowOff>83820</xdr:rowOff>
                  </from>
                  <to>
                    <xdr:col>14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7" r:id="rId10" name="Caixa de seleção 42">
              <controlPr defaultSize="0" autoFill="0" autoLine="0" autoPict="0">
                <anchor moveWithCells="1">
                  <from>
                    <xdr:col>4</xdr:col>
                    <xdr:colOff>30480</xdr:colOff>
                    <xdr:row>169</xdr:row>
                    <xdr:rowOff>175260</xdr:rowOff>
                  </from>
                  <to>
                    <xdr:col>5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8" r:id="rId11" name="Caixa de seleção 44">
              <controlPr defaultSize="0" autoFill="0" autoLine="0" autoPict="0">
                <anchor moveWithCells="1">
                  <from>
                    <xdr:col>6</xdr:col>
                    <xdr:colOff>22860</xdr:colOff>
                    <xdr:row>169</xdr:row>
                    <xdr:rowOff>175260</xdr:rowOff>
                  </from>
                  <to>
                    <xdr:col>7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9" r:id="rId12" name="Caixa de seleção 45">
              <controlPr defaultSize="0" autoFill="0" autoLine="0" autoPict="0">
                <anchor moveWithCells="1">
                  <from>
                    <xdr:col>8</xdr:col>
                    <xdr:colOff>30480</xdr:colOff>
                    <xdr:row>169</xdr:row>
                    <xdr:rowOff>175260</xdr:rowOff>
                  </from>
                  <to>
                    <xdr:col>9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0" r:id="rId13" name="Caixa de seleção 47">
              <controlPr defaultSize="0" autoFill="0" autoLine="0" autoPict="0">
                <anchor moveWithCells="1">
                  <from>
                    <xdr:col>4</xdr:col>
                    <xdr:colOff>38100</xdr:colOff>
                    <xdr:row>171</xdr:row>
                    <xdr:rowOff>68580</xdr:rowOff>
                  </from>
                  <to>
                    <xdr:col>5</xdr:col>
                    <xdr:colOff>609600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1" r:id="rId14" name="Caixa de seleção 48">
              <controlPr defaultSize="0" autoFill="0" autoLine="0" autoPict="0">
                <anchor moveWithCells="1">
                  <from>
                    <xdr:col>6</xdr:col>
                    <xdr:colOff>22860</xdr:colOff>
                    <xdr:row>171</xdr:row>
                    <xdr:rowOff>68580</xdr:rowOff>
                  </from>
                  <to>
                    <xdr:col>7</xdr:col>
                    <xdr:colOff>563880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2" r:id="rId15" name="Caixa de seleção 49">
              <controlPr defaultSize="0" autoFill="0" autoLine="0" autoPict="0">
                <anchor moveWithCells="1">
                  <from>
                    <xdr:col>8</xdr:col>
                    <xdr:colOff>22860</xdr:colOff>
                    <xdr:row>171</xdr:row>
                    <xdr:rowOff>68580</xdr:rowOff>
                  </from>
                  <to>
                    <xdr:col>9</xdr:col>
                    <xdr:colOff>899160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3" r:id="rId16" name="Caixa de seleção 50">
              <controlPr defaultSize="0" autoFill="0" autoLine="0" autoPict="0">
                <anchor moveWithCells="1">
                  <from>
                    <xdr:col>4</xdr:col>
                    <xdr:colOff>30480</xdr:colOff>
                    <xdr:row>175</xdr:row>
                    <xdr:rowOff>76200</xdr:rowOff>
                  </from>
                  <to>
                    <xdr:col>5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4" r:id="rId17" name="Caixa de seleção 51">
              <controlPr defaultSize="0" autoFill="0" autoLine="0" autoPict="0">
                <anchor moveWithCells="1">
                  <from>
                    <xdr:col>6</xdr:col>
                    <xdr:colOff>22860</xdr:colOff>
                    <xdr:row>175</xdr:row>
                    <xdr:rowOff>76200</xdr:rowOff>
                  </from>
                  <to>
                    <xdr:col>7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5" r:id="rId18" name="Caixa de seleção 52">
              <controlPr defaultSize="0" autoFill="0" autoLine="0" autoPict="0">
                <anchor moveWithCells="1">
                  <from>
                    <xdr:col>8</xdr:col>
                    <xdr:colOff>30480</xdr:colOff>
                    <xdr:row>175</xdr:row>
                    <xdr:rowOff>76200</xdr:rowOff>
                  </from>
                  <to>
                    <xdr:col>9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6" r:id="rId19" name="Caixa de seleção 53">
              <controlPr defaultSize="0" autoFill="0" autoLine="0" autoPict="0">
                <anchor moveWithCells="1">
                  <from>
                    <xdr:col>4</xdr:col>
                    <xdr:colOff>30480</xdr:colOff>
                    <xdr:row>177</xdr:row>
                    <xdr:rowOff>76200</xdr:rowOff>
                  </from>
                  <to>
                    <xdr:col>5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7" r:id="rId20" name="Caixa de seleção 54">
              <controlPr defaultSize="0" autoFill="0" autoLine="0" autoPict="0">
                <anchor moveWithCells="1">
                  <from>
                    <xdr:col>6</xdr:col>
                    <xdr:colOff>22860</xdr:colOff>
                    <xdr:row>177</xdr:row>
                    <xdr:rowOff>76200</xdr:rowOff>
                  </from>
                  <to>
                    <xdr:col>7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8" r:id="rId21" name="Caixa de seleção 55">
              <controlPr defaultSize="0" autoFill="0" autoLine="0" autoPict="0">
                <anchor moveWithCells="1">
                  <from>
                    <xdr:col>8</xdr:col>
                    <xdr:colOff>30480</xdr:colOff>
                    <xdr:row>177</xdr:row>
                    <xdr:rowOff>76200</xdr:rowOff>
                  </from>
                  <to>
                    <xdr:col>9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9" r:id="rId22" name="Caixa de seleção 59">
              <controlPr defaultSize="0" autoFill="0" autoLine="0" autoPict="0">
                <anchor moveWithCells="1">
                  <from>
                    <xdr:col>4</xdr:col>
                    <xdr:colOff>30480</xdr:colOff>
                    <xdr:row>179</xdr:row>
                    <xdr:rowOff>76200</xdr:rowOff>
                  </from>
                  <to>
                    <xdr:col>5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0" r:id="rId23" name="Caixa de seleção 60">
              <controlPr defaultSize="0" autoFill="0" autoLine="0" autoPict="0">
                <anchor moveWithCells="1">
                  <from>
                    <xdr:col>6</xdr:col>
                    <xdr:colOff>22860</xdr:colOff>
                    <xdr:row>179</xdr:row>
                    <xdr:rowOff>76200</xdr:rowOff>
                  </from>
                  <to>
                    <xdr:col>7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1" r:id="rId24" name="Caixa de seleção 61">
              <controlPr defaultSize="0" autoFill="0" autoLine="0" autoPict="0">
                <anchor moveWithCells="1">
                  <from>
                    <xdr:col>8</xdr:col>
                    <xdr:colOff>30480</xdr:colOff>
                    <xdr:row>179</xdr:row>
                    <xdr:rowOff>76200</xdr:rowOff>
                  </from>
                  <to>
                    <xdr:col>9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2" r:id="rId25" name="Caixa de seleção 62">
              <controlPr defaultSize="0" autoFill="0" autoLine="0" autoPict="0">
                <anchor moveWithCells="1">
                  <from>
                    <xdr:col>4</xdr:col>
                    <xdr:colOff>30480</xdr:colOff>
                    <xdr:row>181</xdr:row>
                    <xdr:rowOff>76200</xdr:rowOff>
                  </from>
                  <to>
                    <xdr:col>5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3" r:id="rId26" name="Caixa de seleção 63">
              <controlPr defaultSize="0" autoFill="0" autoLine="0" autoPict="0">
                <anchor moveWithCells="1">
                  <from>
                    <xdr:col>6</xdr:col>
                    <xdr:colOff>22860</xdr:colOff>
                    <xdr:row>181</xdr:row>
                    <xdr:rowOff>76200</xdr:rowOff>
                  </from>
                  <to>
                    <xdr:col>7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4" r:id="rId27" name="Caixa de seleção 64">
              <controlPr defaultSize="0" autoFill="0" autoLine="0" autoPict="0">
                <anchor moveWithCells="1">
                  <from>
                    <xdr:col>8</xdr:col>
                    <xdr:colOff>30480</xdr:colOff>
                    <xdr:row>181</xdr:row>
                    <xdr:rowOff>76200</xdr:rowOff>
                  </from>
                  <to>
                    <xdr:col>9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5" r:id="rId28" name="Caixa de seleção 107">
              <controlPr defaultSize="0" autoFill="0" autoLine="0" autoPict="0">
                <anchor moveWithCells="1">
                  <from>
                    <xdr:col>4</xdr:col>
                    <xdr:colOff>30480</xdr:colOff>
                    <xdr:row>173</xdr:row>
                    <xdr:rowOff>68580</xdr:rowOff>
                  </from>
                  <to>
                    <xdr:col>5</xdr:col>
                    <xdr:colOff>579120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6" r:id="rId29" name="Caixa de seleção 108">
              <controlPr defaultSize="0" autoFill="0" autoLine="0" autoPict="0">
                <anchor moveWithCells="1">
                  <from>
                    <xdr:col>6</xdr:col>
                    <xdr:colOff>22860</xdr:colOff>
                    <xdr:row>173</xdr:row>
                    <xdr:rowOff>68580</xdr:rowOff>
                  </from>
                  <to>
                    <xdr:col>7</xdr:col>
                    <xdr:colOff>563880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7" r:id="rId30" name="Caixa de seleção 109">
              <controlPr defaultSize="0" autoFill="0" autoLine="0" autoPict="0">
                <anchor moveWithCells="1">
                  <from>
                    <xdr:col>6</xdr:col>
                    <xdr:colOff>22860</xdr:colOff>
                    <xdr:row>183</xdr:row>
                    <xdr:rowOff>76200</xdr:rowOff>
                  </from>
                  <to>
                    <xdr:col>7</xdr:col>
                    <xdr:colOff>594360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8" r:id="rId31" name="Caixa de seleção 110">
              <controlPr defaultSize="0" autoFill="0" autoLine="0" autoPict="0">
                <anchor moveWithCells="1">
                  <from>
                    <xdr:col>4</xdr:col>
                    <xdr:colOff>22860</xdr:colOff>
                    <xdr:row>183</xdr:row>
                    <xdr:rowOff>76200</xdr:rowOff>
                  </from>
                  <to>
                    <xdr:col>5</xdr:col>
                    <xdr:colOff>579120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9" r:id="rId32" name="Caixa de seleção 111">
              <controlPr defaultSize="0" autoFill="0" autoLine="0" autoPict="0">
                <anchor moveWithCells="1">
                  <from>
                    <xdr:col>8</xdr:col>
                    <xdr:colOff>30480</xdr:colOff>
                    <xdr:row>183</xdr:row>
                    <xdr:rowOff>76200</xdr:rowOff>
                  </from>
                  <to>
                    <xdr:col>9</xdr:col>
                    <xdr:colOff>579120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0" r:id="rId33" name="Caixa de seleção 112">
              <controlPr defaultSize="0" autoFill="0" autoLine="0" autoPict="0">
                <anchor moveWithCells="1">
                  <from>
                    <xdr:col>4</xdr:col>
                    <xdr:colOff>22860</xdr:colOff>
                    <xdr:row>184</xdr:row>
                    <xdr:rowOff>182880</xdr:rowOff>
                  </from>
                  <to>
                    <xdr:col>5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1" r:id="rId34" name="Caixa de seleção 46">
              <controlPr defaultSize="0" autoFill="0" autoLine="0" autoPict="0">
                <anchor moveWithCells="1">
                  <from>
                    <xdr:col>2</xdr:col>
                    <xdr:colOff>53340</xdr:colOff>
                    <xdr:row>199</xdr:row>
                    <xdr:rowOff>7620</xdr:rowOff>
                  </from>
                  <to>
                    <xdr:col>3</xdr:col>
                    <xdr:colOff>723900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2" r:id="rId35" name="Caixa de seleção 65">
              <controlPr defaultSize="0" autoFill="0" autoLine="0" autoPict="0">
                <anchor moveWithCells="1">
                  <from>
                    <xdr:col>2</xdr:col>
                    <xdr:colOff>53340</xdr:colOff>
                    <xdr:row>190</xdr:row>
                    <xdr:rowOff>7620</xdr:rowOff>
                  </from>
                  <to>
                    <xdr:col>3</xdr:col>
                    <xdr:colOff>708660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3" r:id="rId36" name="Caixa de seleção 66">
              <controlPr defaultSize="0" autoFill="0" autoLine="0" autoPict="0">
                <anchor moveWithCells="1">
                  <from>
                    <xdr:col>2</xdr:col>
                    <xdr:colOff>53340</xdr:colOff>
                    <xdr:row>189</xdr:row>
                    <xdr:rowOff>7620</xdr:rowOff>
                  </from>
                  <to>
                    <xdr:col>5</xdr:col>
                    <xdr:colOff>99060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4" r:id="rId37" name="Caixa de seleção 67">
              <controlPr defaultSize="0" autoFill="0" autoLine="0" autoPict="0">
                <anchor moveWithCells="1">
                  <from>
                    <xdr:col>4</xdr:col>
                    <xdr:colOff>137160</xdr:colOff>
                    <xdr:row>189</xdr:row>
                    <xdr:rowOff>7620</xdr:rowOff>
                  </from>
                  <to>
                    <xdr:col>7</xdr:col>
                    <xdr:colOff>259080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5" r:id="rId38" name="Caixa de seleção 69">
              <controlPr defaultSize="0" autoFill="0" autoLine="0" autoPict="0">
                <anchor moveWithCells="1">
                  <from>
                    <xdr:col>2</xdr:col>
                    <xdr:colOff>53340</xdr:colOff>
                    <xdr:row>198</xdr:row>
                    <xdr:rowOff>7620</xdr:rowOff>
                  </from>
                  <to>
                    <xdr:col>5</xdr:col>
                    <xdr:colOff>22860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6" r:id="rId39" name="Caixa de seleção 70">
              <controlPr defaultSize="0" autoFill="0" autoLine="0" autoPict="0">
                <anchor moveWithCells="1">
                  <from>
                    <xdr:col>4</xdr:col>
                    <xdr:colOff>137160</xdr:colOff>
                    <xdr:row>198</xdr:row>
                    <xdr:rowOff>7620</xdr:rowOff>
                  </from>
                  <to>
                    <xdr:col>7</xdr:col>
                    <xdr:colOff>83820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7" r:id="rId40" name="Caixa de seleção 71">
              <controlPr defaultSize="0" autoFill="0" autoLine="0" autoPict="0">
                <anchor moveWithCells="1">
                  <from>
                    <xdr:col>2</xdr:col>
                    <xdr:colOff>53340</xdr:colOff>
                    <xdr:row>195</xdr:row>
                    <xdr:rowOff>7620</xdr:rowOff>
                  </from>
                  <to>
                    <xdr:col>3</xdr:col>
                    <xdr:colOff>708660</xdr:colOff>
                    <xdr:row>196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8" r:id="rId41" name="Caixa de seleção 72">
              <controlPr defaultSize="0" autoFill="0" autoLine="0" autoPict="0">
                <anchor moveWithCells="1">
                  <from>
                    <xdr:col>2</xdr:col>
                    <xdr:colOff>53340</xdr:colOff>
                    <xdr:row>193</xdr:row>
                    <xdr:rowOff>7620</xdr:rowOff>
                  </from>
                  <to>
                    <xdr:col>4</xdr:col>
                    <xdr:colOff>137160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9" r:id="rId42" name="Caixa de seleção 73">
              <controlPr defaultSize="0" autoFill="0" autoLine="0" autoPict="0">
                <anchor moveWithCells="1">
                  <from>
                    <xdr:col>4</xdr:col>
                    <xdr:colOff>137160</xdr:colOff>
                    <xdr:row>193</xdr:row>
                    <xdr:rowOff>7620</xdr:rowOff>
                  </from>
                  <to>
                    <xdr:col>5</xdr:col>
                    <xdr:colOff>708660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0" r:id="rId43" name="Caixa de seleção 77">
              <controlPr defaultSize="0" autoFill="0" autoLine="0" autoPict="0">
                <anchor moveWithCells="1">
                  <from>
                    <xdr:col>2</xdr:col>
                    <xdr:colOff>53340</xdr:colOff>
                    <xdr:row>194</xdr:row>
                    <xdr:rowOff>7620</xdr:rowOff>
                  </from>
                  <to>
                    <xdr:col>3</xdr:col>
                    <xdr:colOff>975360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1" r:id="rId44" name="Caixa de seleção 78">
              <controlPr defaultSize="0" autoFill="0" autoLine="0" autoPict="0">
                <anchor moveWithCells="1">
                  <from>
                    <xdr:col>4</xdr:col>
                    <xdr:colOff>137160</xdr:colOff>
                    <xdr:row>194</xdr:row>
                    <xdr:rowOff>7620</xdr:rowOff>
                  </from>
                  <to>
                    <xdr:col>6</xdr:col>
                    <xdr:colOff>99060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2" r:id="rId45" name="Caixa de seleção 80">
              <controlPr defaultSize="0" autoFill="0" autoLine="0" autoPict="0">
                <anchor moveWithCells="1">
                  <from>
                    <xdr:col>2</xdr:col>
                    <xdr:colOff>53340</xdr:colOff>
                    <xdr:row>211</xdr:row>
                    <xdr:rowOff>0</xdr:rowOff>
                  </from>
                  <to>
                    <xdr:col>3</xdr:col>
                    <xdr:colOff>708660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3" r:id="rId46" name="Caixa de seleção 81">
              <controlPr defaultSize="0" autoFill="0" autoLine="0" autoPict="0">
                <anchor moveWithCells="1">
                  <from>
                    <xdr:col>4</xdr:col>
                    <xdr:colOff>144780</xdr:colOff>
                    <xdr:row>211</xdr:row>
                    <xdr:rowOff>0</xdr:rowOff>
                  </from>
                  <to>
                    <xdr:col>5</xdr:col>
                    <xdr:colOff>685800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4" r:id="rId47" name="Caixa de seleção 83">
              <controlPr defaultSize="0" autoFill="0" autoLine="0" autoPict="0">
                <anchor moveWithCells="1">
                  <from>
                    <xdr:col>2</xdr:col>
                    <xdr:colOff>53340</xdr:colOff>
                    <xdr:row>208</xdr:row>
                    <xdr:rowOff>7620</xdr:rowOff>
                  </from>
                  <to>
                    <xdr:col>3</xdr:col>
                    <xdr:colOff>708660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5" r:id="rId48" name="Caixa de seleção 84">
              <controlPr defaultSize="0" autoFill="0" autoLine="0" autoPict="0">
                <anchor moveWithCells="1">
                  <from>
                    <xdr:col>4</xdr:col>
                    <xdr:colOff>144780</xdr:colOff>
                    <xdr:row>208</xdr:row>
                    <xdr:rowOff>7620</xdr:rowOff>
                  </from>
                  <to>
                    <xdr:col>5</xdr:col>
                    <xdr:colOff>685800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6" r:id="rId49" name="Caixa de seleção 85">
              <controlPr defaultSize="0" autoFill="0" autoLine="0" autoPict="0">
                <anchor moveWithCells="1">
                  <from>
                    <xdr:col>5</xdr:col>
                    <xdr:colOff>838200</xdr:colOff>
                    <xdr:row>208</xdr:row>
                    <xdr:rowOff>15240</xdr:rowOff>
                  </from>
                  <to>
                    <xdr:col>7</xdr:col>
                    <xdr:colOff>403860</xdr:colOff>
                    <xdr:row>209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7" r:id="rId50" name="Caixa de seleção 86">
              <controlPr defaultSize="0" autoFill="0" autoLine="0" autoPict="0">
                <anchor moveWithCells="1">
                  <from>
                    <xdr:col>8</xdr:col>
                    <xdr:colOff>137160</xdr:colOff>
                    <xdr:row>189</xdr:row>
                    <xdr:rowOff>7620</xdr:rowOff>
                  </from>
                  <to>
                    <xdr:col>9</xdr:col>
                    <xdr:colOff>708660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8" r:id="rId51" name="Caixa de seleção 87">
              <controlPr defaultSize="0" autoFill="0" autoLine="0" autoPict="0">
                <anchor moveWithCells="1">
                  <from>
                    <xdr:col>10</xdr:col>
                    <xdr:colOff>137160</xdr:colOff>
                    <xdr:row>189</xdr:row>
                    <xdr:rowOff>7620</xdr:rowOff>
                  </from>
                  <to>
                    <xdr:col>11</xdr:col>
                    <xdr:colOff>670560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9" r:id="rId52" name="Caixa de seleção 92">
              <controlPr defaultSize="0" autoFill="0" autoLine="0" autoPict="0">
                <anchor moveWithCells="1">
                  <from>
                    <xdr:col>8</xdr:col>
                    <xdr:colOff>137160</xdr:colOff>
                    <xdr:row>198</xdr:row>
                    <xdr:rowOff>167640</xdr:rowOff>
                  </from>
                  <to>
                    <xdr:col>9</xdr:col>
                    <xdr:colOff>693420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0" r:id="rId53" name="Caixa de seleção 93">
              <controlPr defaultSize="0" autoFill="0" autoLine="0" autoPict="0">
                <anchor moveWithCells="1">
                  <from>
                    <xdr:col>8</xdr:col>
                    <xdr:colOff>137160</xdr:colOff>
                    <xdr:row>197</xdr:row>
                    <xdr:rowOff>175260</xdr:rowOff>
                  </from>
                  <to>
                    <xdr:col>9</xdr:col>
                    <xdr:colOff>708660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1" r:id="rId54" name="Caixa de seleção 94">
              <controlPr defaultSize="0" autoFill="0" autoLine="0" autoPict="0">
                <anchor moveWithCells="1">
                  <from>
                    <xdr:col>10</xdr:col>
                    <xdr:colOff>137160</xdr:colOff>
                    <xdr:row>197</xdr:row>
                    <xdr:rowOff>175260</xdr:rowOff>
                  </from>
                  <to>
                    <xdr:col>11</xdr:col>
                    <xdr:colOff>693420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2" r:id="rId55" name="Caixa de seleção 95">
              <controlPr defaultSize="0" autoFill="0" autoLine="0" autoPict="0">
                <anchor moveWithCells="1">
                  <from>
                    <xdr:col>8</xdr:col>
                    <xdr:colOff>137160</xdr:colOff>
                    <xdr:row>204</xdr:row>
                    <xdr:rowOff>175260</xdr:rowOff>
                  </from>
                  <to>
                    <xdr:col>9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3" r:id="rId56" name="Caixa de seleção 96">
              <controlPr defaultSize="0" autoFill="0" autoLine="0" autoPict="0">
                <anchor moveWithCells="1">
                  <from>
                    <xdr:col>8</xdr:col>
                    <xdr:colOff>137160</xdr:colOff>
                    <xdr:row>203</xdr:row>
                    <xdr:rowOff>175260</xdr:rowOff>
                  </from>
                  <to>
                    <xdr:col>9</xdr:col>
                    <xdr:colOff>708660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4" r:id="rId57" name="Caixa de seleção 97">
              <controlPr defaultSize="0" autoFill="0" autoLine="0" autoPict="0">
                <anchor moveWithCells="1">
                  <from>
                    <xdr:col>10</xdr:col>
                    <xdr:colOff>137160</xdr:colOff>
                    <xdr:row>203</xdr:row>
                    <xdr:rowOff>175260</xdr:rowOff>
                  </from>
                  <to>
                    <xdr:col>11</xdr:col>
                    <xdr:colOff>693420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5" r:id="rId58" name="Caixa de seleção 98">
              <controlPr defaultSize="0" autoFill="0" autoLine="0" autoPict="0">
                <anchor moveWithCells="1">
                  <from>
                    <xdr:col>8</xdr:col>
                    <xdr:colOff>137160</xdr:colOff>
                    <xdr:row>193</xdr:row>
                    <xdr:rowOff>175260</xdr:rowOff>
                  </from>
                  <to>
                    <xdr:col>9</xdr:col>
                    <xdr:colOff>693420</xdr:colOff>
                    <xdr:row>195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6" r:id="rId59" name="Caixa de seleção 104">
              <controlPr defaultSize="0" autoFill="0" autoLine="0" autoPict="0">
                <anchor moveWithCells="1">
                  <from>
                    <xdr:col>2</xdr:col>
                    <xdr:colOff>53340</xdr:colOff>
                    <xdr:row>204</xdr:row>
                    <xdr:rowOff>175260</xdr:rowOff>
                  </from>
                  <to>
                    <xdr:col>3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7" r:id="rId60" name="Caixa de seleção 105">
              <controlPr defaultSize="0" autoFill="0" autoLine="0" autoPict="0">
                <anchor moveWithCells="1">
                  <from>
                    <xdr:col>4</xdr:col>
                    <xdr:colOff>129540</xdr:colOff>
                    <xdr:row>203</xdr:row>
                    <xdr:rowOff>175260</xdr:rowOff>
                  </from>
                  <to>
                    <xdr:col>7</xdr:col>
                    <xdr:colOff>7620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8" r:id="rId61" name="Caixa de seleção 106">
              <controlPr defaultSize="0" autoFill="0" autoLine="0" autoPict="0">
                <anchor moveWithCells="1">
                  <from>
                    <xdr:col>2</xdr:col>
                    <xdr:colOff>53340</xdr:colOff>
                    <xdr:row>203</xdr:row>
                    <xdr:rowOff>175260</xdr:rowOff>
                  </from>
                  <to>
                    <xdr:col>4</xdr:col>
                    <xdr:colOff>144780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9" r:id="rId62" name="Check Box 59">
              <controlPr defaultSize="0" autoFill="0" autoLine="0" autoPict="0">
                <anchor moveWithCells="1">
                  <from>
                    <xdr:col>12</xdr:col>
                    <xdr:colOff>0</xdr:colOff>
                    <xdr:row>47</xdr:row>
                    <xdr:rowOff>175260</xdr:rowOff>
                  </from>
                  <to>
                    <xdr:col>13</xdr:col>
                    <xdr:colOff>495300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0" r:id="rId63" name="Check Box 60">
              <controlPr defaultSize="0" autoFill="0" autoLine="0" autoPict="0">
                <anchor moveWithCells="1">
                  <from>
                    <xdr:col>13</xdr:col>
                    <xdr:colOff>327660</xdr:colOff>
                    <xdr:row>47</xdr:row>
                    <xdr:rowOff>175260</xdr:rowOff>
                  </from>
                  <to>
                    <xdr:col>14</xdr:col>
                    <xdr:colOff>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1" r:id="rId64" name="Check Box 61">
              <controlPr defaultSize="0" autoFill="0" autoLine="0" autoPict="0">
                <anchor moveWithCells="1">
                  <from>
                    <xdr:col>12</xdr:col>
                    <xdr:colOff>0</xdr:colOff>
                    <xdr:row>50</xdr:row>
                    <xdr:rowOff>53340</xdr:rowOff>
                  </from>
                  <to>
                    <xdr:col>13</xdr:col>
                    <xdr:colOff>495300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2" r:id="rId65" name="Check Box 62">
              <controlPr defaultSize="0" autoFill="0" autoLine="0" autoPict="0">
                <anchor moveWithCells="1">
                  <from>
                    <xdr:col>13</xdr:col>
                    <xdr:colOff>327660</xdr:colOff>
                    <xdr:row>50</xdr:row>
                    <xdr:rowOff>53340</xdr:rowOff>
                  </from>
                  <to>
                    <xdr:col>14</xdr:col>
                    <xdr:colOff>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3" r:id="rId66" name="Check Box 63">
              <controlPr defaultSize="0" autoFill="0" autoLine="0" autoPict="0">
                <anchor moveWithCells="1">
                  <from>
                    <xdr:col>12</xdr:col>
                    <xdr:colOff>0</xdr:colOff>
                    <xdr:row>52</xdr:row>
                    <xdr:rowOff>45720</xdr:rowOff>
                  </from>
                  <to>
                    <xdr:col>13</xdr:col>
                    <xdr:colOff>495300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4" r:id="rId67" name="Check Box 64">
              <controlPr defaultSize="0" autoFill="0" autoLine="0" autoPict="0">
                <anchor moveWithCells="1">
                  <from>
                    <xdr:col>13</xdr:col>
                    <xdr:colOff>327660</xdr:colOff>
                    <xdr:row>52</xdr:row>
                    <xdr:rowOff>45720</xdr:rowOff>
                  </from>
                  <to>
                    <xdr:col>14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5" r:id="rId68" name="Check Box 65">
              <controlPr defaultSize="0" autoFill="0" autoLine="0" autoPict="0">
                <anchor moveWithCells="1">
                  <from>
                    <xdr:col>12</xdr:col>
                    <xdr:colOff>0</xdr:colOff>
                    <xdr:row>54</xdr:row>
                    <xdr:rowOff>53340</xdr:rowOff>
                  </from>
                  <to>
                    <xdr:col>13</xdr:col>
                    <xdr:colOff>495300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6" r:id="rId69" name="Check Box 66">
              <controlPr defaultSize="0" autoFill="0" autoLine="0" autoPict="0">
                <anchor moveWithCells="1">
                  <from>
                    <xdr:col>13</xdr:col>
                    <xdr:colOff>327660</xdr:colOff>
                    <xdr:row>54</xdr:row>
                    <xdr:rowOff>53340</xdr:rowOff>
                  </from>
                  <to>
                    <xdr:col>14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7" r:id="rId70" name="Check Box 67">
              <controlPr defaultSize="0" autoFill="0" autoLine="0" autoPict="0">
                <anchor moveWithCells="1">
                  <from>
                    <xdr:col>12</xdr:col>
                    <xdr:colOff>0</xdr:colOff>
                    <xdr:row>56</xdr:row>
                    <xdr:rowOff>53340</xdr:rowOff>
                  </from>
                  <to>
                    <xdr:col>13</xdr:col>
                    <xdr:colOff>495300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8" r:id="rId71" name="Check Box 68">
              <controlPr defaultSize="0" autoFill="0" autoLine="0" autoPict="0">
                <anchor moveWithCells="1">
                  <from>
                    <xdr:col>13</xdr:col>
                    <xdr:colOff>327660</xdr:colOff>
                    <xdr:row>56</xdr:row>
                    <xdr:rowOff>53340</xdr:rowOff>
                  </from>
                  <to>
                    <xdr:col>14</xdr:col>
                    <xdr:colOff>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9" r:id="rId72" name="Check Box 69">
              <controlPr defaultSize="0" autoFill="0" autoLine="0" autoPict="0">
                <anchor moveWithCells="1">
                  <from>
                    <xdr:col>12</xdr:col>
                    <xdr:colOff>0</xdr:colOff>
                    <xdr:row>59</xdr:row>
                    <xdr:rowOff>53340</xdr:rowOff>
                  </from>
                  <to>
                    <xdr:col>13</xdr:col>
                    <xdr:colOff>495300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0" r:id="rId73" name="Check Box 70">
              <controlPr defaultSize="0" autoFill="0" autoLine="0" autoPict="0">
                <anchor moveWithCells="1">
                  <from>
                    <xdr:col>13</xdr:col>
                    <xdr:colOff>327660</xdr:colOff>
                    <xdr:row>59</xdr:row>
                    <xdr:rowOff>53340</xdr:rowOff>
                  </from>
                  <to>
                    <xdr:col>14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1" r:id="rId74" name="Check Box 71">
              <controlPr defaultSize="0" autoFill="0" autoLine="0" autoPict="0">
                <anchor moveWithCells="1">
                  <from>
                    <xdr:col>12</xdr:col>
                    <xdr:colOff>0</xdr:colOff>
                    <xdr:row>62</xdr:row>
                    <xdr:rowOff>53340</xdr:rowOff>
                  </from>
                  <to>
                    <xdr:col>13</xdr:col>
                    <xdr:colOff>495300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2" r:id="rId75" name="Check Box 72">
              <controlPr defaultSize="0" autoFill="0" autoLine="0" autoPict="0">
                <anchor moveWithCells="1">
                  <from>
                    <xdr:col>13</xdr:col>
                    <xdr:colOff>327660</xdr:colOff>
                    <xdr:row>62</xdr:row>
                    <xdr:rowOff>53340</xdr:rowOff>
                  </from>
                  <to>
                    <xdr:col>14</xdr:col>
                    <xdr:colOff>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3" r:id="rId76" name="Caixa de seleção 112">
              <controlPr defaultSize="0" autoFill="0" autoLine="0" autoPict="0">
                <anchor moveWithCells="1">
                  <from>
                    <xdr:col>6</xdr:col>
                    <xdr:colOff>22860</xdr:colOff>
                    <xdr:row>184</xdr:row>
                    <xdr:rowOff>182880</xdr:rowOff>
                  </from>
                  <to>
                    <xdr:col>7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4" r:id="rId77" name="Caixa de seleção 112">
              <controlPr defaultSize="0" autoFill="0" autoLine="0" autoPict="0">
                <anchor moveWithCells="1">
                  <from>
                    <xdr:col>8</xdr:col>
                    <xdr:colOff>137160</xdr:colOff>
                    <xdr:row>190</xdr:row>
                    <xdr:rowOff>0</xdr:rowOff>
                  </from>
                  <to>
                    <xdr:col>9</xdr:col>
                    <xdr:colOff>685800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5" r:id="rId78" name="Caixa de seleção 68">
              <controlPr defaultSize="0" autoFill="0" autoLine="0" autoPict="0">
                <anchor moveWithCells="1">
                  <from>
                    <xdr:col>4</xdr:col>
                    <xdr:colOff>137160</xdr:colOff>
                    <xdr:row>199</xdr:row>
                    <xdr:rowOff>7620</xdr:rowOff>
                  </from>
                  <to>
                    <xdr:col>5</xdr:col>
                    <xdr:colOff>708660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6" r:id="rId79" name="Caixa de seleção 82">
              <controlPr defaultSize="0" autoFill="0" autoLine="0" autoPict="0">
                <anchor moveWithCells="1">
                  <from>
                    <xdr:col>5</xdr:col>
                    <xdr:colOff>845820</xdr:colOff>
                    <xdr:row>211</xdr:row>
                    <xdr:rowOff>0</xdr:rowOff>
                  </from>
                  <to>
                    <xdr:col>7</xdr:col>
                    <xdr:colOff>403860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7" r:id="rId80" name="Caixa de seleção 99">
              <controlPr defaultSize="0" autoFill="0" autoLine="0" autoPict="0">
                <anchor moveWithCells="1">
                  <from>
                    <xdr:col>8</xdr:col>
                    <xdr:colOff>137160</xdr:colOff>
                    <xdr:row>192</xdr:row>
                    <xdr:rowOff>175260</xdr:rowOff>
                  </from>
                  <to>
                    <xdr:col>10</xdr:col>
                    <xdr:colOff>38100</xdr:colOff>
                    <xdr:row>194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8" r:id="rId81" name="Caixa de seleção 100">
              <controlPr defaultSize="0" autoFill="0" autoLine="0" autoPict="0">
                <anchor moveWithCells="1">
                  <from>
                    <xdr:col>10</xdr:col>
                    <xdr:colOff>137160</xdr:colOff>
                    <xdr:row>192</xdr:row>
                    <xdr:rowOff>175260</xdr:rowOff>
                  </from>
                  <to>
                    <xdr:col>12</xdr:col>
                    <xdr:colOff>144780</xdr:colOff>
                    <xdr:row>194</xdr:row>
                    <xdr:rowOff>68580</xdr:rowOff>
                  </to>
                </anchor>
              </controlPr>
            </control>
          </mc:Choice>
        </mc:AlternateContent>
      </controls>
    </mc:Choice>
  </mc:AlternateContent>
  <tableParts count="3">
    <tablePart r:id="rId82"/>
    <tablePart r:id="rId83"/>
    <tablePart r:id="rId8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B7688-EA81-4123-87B8-AC8BAE2611C0}">
  <sheetPr>
    <pageSetUpPr fitToPage="1"/>
  </sheetPr>
  <dimension ref="A1:EW328"/>
  <sheetViews>
    <sheetView showGridLines="0" showRowColHeaders="0" zoomScale="80" zoomScaleNormal="80" zoomScaleSheetLayoutView="73" workbookViewId="0">
      <selection activeCell="D9" sqref="D9:H9"/>
    </sheetView>
  </sheetViews>
  <sheetFormatPr defaultColWidth="0" defaultRowHeight="14.45" customHeight="1" zeroHeight="1" x14ac:dyDescent="0.2"/>
  <cols>
    <col min="1" max="1" width="5.24609375" customWidth="1"/>
    <col min="2" max="2" width="1.61328125" customWidth="1"/>
    <col min="3" max="3" width="1.4765625" customWidth="1"/>
    <col min="4" max="4" width="14.66015625" customWidth="1"/>
    <col min="5" max="5" width="2.6875" customWidth="1"/>
    <col min="6" max="6" width="14.66015625" customWidth="1"/>
    <col min="7" max="7" width="2.6875" customWidth="1"/>
    <col min="8" max="8" width="16.0078125" bestFit="1" customWidth="1"/>
    <col min="9" max="9" width="2.6875" customWidth="1"/>
    <col min="10" max="10" width="16.94921875" customWidth="1"/>
    <col min="11" max="11" width="2.6875" customWidth="1"/>
    <col min="12" max="12" width="14.66015625" customWidth="1"/>
    <col min="13" max="13" width="2.6875" customWidth="1"/>
    <col min="14" max="14" width="14.66015625" customWidth="1"/>
    <col min="15" max="15" width="2.6875" customWidth="1"/>
    <col min="16" max="16" width="1.34375" customWidth="1"/>
    <col min="17" max="17" width="1.61328125" customWidth="1"/>
    <col min="18" max="18" width="9.14453125" hidden="1" customWidth="1"/>
    <col min="19" max="19" width="18.16015625" hidden="1" customWidth="1"/>
    <col min="20" max="20" width="12.375" hidden="1" customWidth="1"/>
    <col min="21" max="21" width="9.14453125" hidden="1" customWidth="1"/>
    <col min="22" max="22" width="20.984375" hidden="1" customWidth="1"/>
    <col min="23" max="25" width="9.14453125" hidden="1" customWidth="1"/>
    <col min="26" max="26" width="10.4921875" hidden="1" customWidth="1"/>
    <col min="27" max="30" width="9.14453125" hidden="1" customWidth="1"/>
    <col min="31" max="31" width="9.14453125" style="79" hidden="1" customWidth="1"/>
    <col min="32" max="74" width="9.14453125" hidden="1" customWidth="1"/>
    <col min="75" max="75" width="9.14453125" style="79" hidden="1" customWidth="1"/>
    <col min="76" max="79" width="9.14453125" hidden="1" customWidth="1"/>
    <col min="80" max="80" width="16.8125" hidden="1" customWidth="1"/>
    <col min="81" max="83" width="9.14453125" hidden="1" customWidth="1"/>
    <col min="84" max="84" width="19.37109375" hidden="1" customWidth="1"/>
    <col min="85" max="90" width="9.14453125" hidden="1" customWidth="1"/>
    <col min="91" max="91" width="10.4921875" hidden="1" customWidth="1"/>
    <col min="92" max="92" width="9.14453125" hidden="1" customWidth="1"/>
    <col min="93" max="93" width="10.625" hidden="1" customWidth="1"/>
    <col min="94" max="120" width="9.14453125" hidden="1" customWidth="1"/>
    <col min="121" max="121" width="9.14453125" style="79" hidden="1" customWidth="1"/>
    <col min="122" max="152" width="9.14453125" hidden="1" customWidth="1"/>
    <col min="153" max="153" width="9.14453125" style="79" hidden="1" customWidth="1"/>
    <col min="154" max="16384" width="9.14453125" hidden="1"/>
  </cols>
  <sheetData>
    <row r="1" spans="2:146" ht="15" customHeight="1" x14ac:dyDescent="0.2"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L1" t="s">
        <v>96</v>
      </c>
    </row>
    <row r="2" spans="2:146" ht="15" customHeight="1" x14ac:dyDescent="0.2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AF2" s="10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L2" t="s">
        <v>97</v>
      </c>
    </row>
    <row r="3" spans="2:146" ht="15" customHeight="1" x14ac:dyDescent="0.2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DS3" s="162"/>
      <c r="DT3" s="162"/>
      <c r="DU3" s="162"/>
      <c r="DV3" s="162"/>
      <c r="DW3" s="162"/>
      <c r="DY3" s="162"/>
      <c r="DZ3" s="162"/>
      <c r="EA3" s="162"/>
      <c r="EB3" s="162"/>
      <c r="EC3" s="162"/>
      <c r="ED3" s="162"/>
      <c r="EE3" s="162"/>
      <c r="EJ3" t="s">
        <v>95</v>
      </c>
    </row>
    <row r="4" spans="2:146" ht="15" customHeight="1" x14ac:dyDescent="0.2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7"/>
      <c r="Q4" s="22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J4" s="4">
        <f>IF(DZ9="feminino",0,1)</f>
        <v>1</v>
      </c>
    </row>
    <row r="5" spans="2:146" ht="15" customHeight="1" x14ac:dyDescent="0.2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7"/>
      <c r="Q5" s="22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J5" s="4"/>
    </row>
    <row r="6" spans="2:146" ht="15" customHeight="1" thickBot="1" x14ac:dyDescent="0.25">
      <c r="B6" s="227"/>
      <c r="C6" s="228"/>
      <c r="D6" s="228"/>
      <c r="E6" s="228"/>
      <c r="F6" s="228"/>
      <c r="G6" s="228"/>
      <c r="H6" s="228"/>
      <c r="I6" s="228"/>
      <c r="J6" s="228"/>
      <c r="K6" s="456"/>
      <c r="L6" s="456"/>
      <c r="M6" s="456"/>
      <c r="N6" s="229"/>
      <c r="O6" s="228"/>
      <c r="P6" s="227"/>
      <c r="Q6" s="227"/>
      <c r="AG6" s="46"/>
      <c r="AH6" s="46"/>
      <c r="AI6" s="46"/>
      <c r="AJ6" s="46"/>
      <c r="AK6" s="46"/>
      <c r="AL6" s="129"/>
      <c r="AM6" s="129"/>
      <c r="AN6" s="129"/>
      <c r="AO6" s="46"/>
      <c r="AP6" s="46"/>
      <c r="AQ6" s="46"/>
      <c r="AR6" s="46"/>
      <c r="AS6" s="46"/>
      <c r="BC6" s="314" t="s">
        <v>133</v>
      </c>
      <c r="BD6" s="314" t="s">
        <v>132</v>
      </c>
      <c r="BE6" s="314" t="s">
        <v>134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M6" s="314"/>
      <c r="CN6" s="314"/>
      <c r="CO6" s="314"/>
      <c r="DO6" s="42" t="s">
        <v>138</v>
      </c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G6" t="e">
        <f>DV11*DV26</f>
        <v>#VALUE!</v>
      </c>
    </row>
    <row r="7" spans="2:146" ht="15" customHeight="1" x14ac:dyDescent="0.2">
      <c r="B7" s="227"/>
      <c r="C7" s="374" t="s">
        <v>201</v>
      </c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227"/>
      <c r="BC7" s="314" t="str">
        <f>AX14</f>
        <v>-</v>
      </c>
      <c r="BD7" s="314">
        <f>AV15</f>
        <v>1</v>
      </c>
      <c r="BE7" s="32" t="str">
        <f>AZ13</f>
        <v>-</v>
      </c>
      <c r="CM7" s="314"/>
      <c r="CN7" s="314"/>
      <c r="CO7" s="32"/>
      <c r="DM7" s="42" t="s">
        <v>133</v>
      </c>
      <c r="DO7" s="42">
        <f>CB31</f>
        <v>-11.2</v>
      </c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I7" s="17" t="s">
        <v>46</v>
      </c>
    </row>
    <row r="8" spans="2:146" ht="15" x14ac:dyDescent="0.2">
      <c r="B8" s="227"/>
      <c r="C8" s="238"/>
      <c r="D8" s="276" t="s">
        <v>0</v>
      </c>
      <c r="E8" s="276"/>
      <c r="F8" s="276"/>
      <c r="G8" s="276"/>
      <c r="H8" s="276"/>
      <c r="I8" s="276"/>
      <c r="J8" s="276" t="s">
        <v>1</v>
      </c>
      <c r="K8" s="276"/>
      <c r="L8" s="276" t="s">
        <v>3</v>
      </c>
      <c r="M8" s="276"/>
      <c r="N8" s="276" t="s">
        <v>2</v>
      </c>
      <c r="O8" s="276"/>
      <c r="P8" s="277"/>
      <c r="Q8" s="227"/>
      <c r="BC8" s="314" t="str">
        <f t="shared" ref="BC8:BE10" si="0">BC7</f>
        <v>-</v>
      </c>
      <c r="BD8" s="314">
        <f t="shared" si="0"/>
        <v>1</v>
      </c>
      <c r="BE8" s="32" t="str">
        <f t="shared" si="0"/>
        <v>-</v>
      </c>
      <c r="CM8" s="32" t="e">
        <f>CF31</f>
        <v>#VALUE!</v>
      </c>
      <c r="CN8" s="314"/>
      <c r="CO8" s="32" t="e">
        <f>CF31</f>
        <v>#VALUE!</v>
      </c>
      <c r="DK8" s="42" t="s">
        <v>132</v>
      </c>
      <c r="DM8" s="42" t="str">
        <f>DB14</f>
        <v>-</v>
      </c>
      <c r="ED8" s="498">
        <f ca="1">TODAY()</f>
        <v>44149</v>
      </c>
      <c r="EE8" s="498"/>
      <c r="EI8" s="27" t="s">
        <v>38</v>
      </c>
    </row>
    <row r="9" spans="2:146" ht="15" x14ac:dyDescent="0.2">
      <c r="B9" s="227"/>
      <c r="C9" s="240"/>
      <c r="D9" s="494"/>
      <c r="E9" s="495"/>
      <c r="F9" s="495"/>
      <c r="G9" s="495"/>
      <c r="H9" s="496"/>
      <c r="I9" s="221"/>
      <c r="J9" s="222"/>
      <c r="K9" s="221"/>
      <c r="L9" s="223"/>
      <c r="M9" s="221"/>
      <c r="N9" s="230" t="str">
        <f>'Avaliação Física 5'!DV9</f>
        <v>-</v>
      </c>
      <c r="O9" s="221"/>
      <c r="P9" s="278"/>
      <c r="Q9" s="227"/>
      <c r="S9" s="106"/>
      <c r="T9" s="106"/>
      <c r="U9" s="106"/>
      <c r="V9" s="106"/>
      <c r="AH9" s="126" t="s">
        <v>49</v>
      </c>
      <c r="AI9" s="126"/>
      <c r="AJ9" s="31">
        <f>'Avaliação Física 5'!F85</f>
        <v>0</v>
      </c>
      <c r="AN9" s="126" t="s">
        <v>119</v>
      </c>
      <c r="AO9" s="126"/>
      <c r="AP9" s="10">
        <f>'Avaliação Física 5'!DV11</f>
        <v>0</v>
      </c>
      <c r="BC9" s="314" t="str">
        <f t="shared" si="0"/>
        <v>-</v>
      </c>
      <c r="BD9" s="314">
        <f t="shared" si="0"/>
        <v>1</v>
      </c>
      <c r="BE9" s="32" t="str">
        <f t="shared" si="0"/>
        <v>-</v>
      </c>
      <c r="BZ9" s="126" t="s">
        <v>41</v>
      </c>
      <c r="CA9" s="126"/>
      <c r="CB9" s="144">
        <f>'Avaliação Física 5'!L9</f>
        <v>0</v>
      </c>
      <c r="CC9" s="145"/>
      <c r="CD9" s="126" t="s">
        <v>148</v>
      </c>
      <c r="CE9" s="126"/>
      <c r="CF9" s="144" t="str">
        <f>'Avaliação Física 5'!DV9</f>
        <v>-</v>
      </c>
      <c r="CG9" s="145"/>
      <c r="CM9" s="314"/>
      <c r="CN9" s="314"/>
      <c r="CO9" s="32"/>
      <c r="DK9" s="42">
        <f>CZ15</f>
        <v>1</v>
      </c>
      <c r="DT9" s="426" t="s">
        <v>2</v>
      </c>
      <c r="DU9" s="426"/>
      <c r="DV9" s="8" t="str">
        <f>IF(J9="","-",INT((ED8-'Avaliação Física 5'!J9)/365.25))</f>
        <v>-</v>
      </c>
      <c r="DX9" s="426" t="s">
        <v>41</v>
      </c>
      <c r="DY9" s="426"/>
      <c r="DZ9" s="10">
        <f>'Avaliação Física 5'!L9</f>
        <v>0</v>
      </c>
      <c r="EI9" s="14" t="e">
        <f>1.112-(0.00043499*(DV23))+(0.00000055*(DV23*DV23))-(0.00028826*(DV9))</f>
        <v>#VALUE!</v>
      </c>
      <c r="EP9" t="s">
        <v>48</v>
      </c>
    </row>
    <row r="10" spans="2:146" ht="15" x14ac:dyDescent="0.2">
      <c r="B10" s="227"/>
      <c r="C10" s="240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301"/>
      <c r="O10" s="221"/>
      <c r="P10" s="278"/>
      <c r="Q10" s="227"/>
      <c r="S10" s="106"/>
      <c r="T10" s="106"/>
      <c r="U10" s="106"/>
      <c r="V10" s="106"/>
      <c r="AH10" s="126" t="s">
        <v>50</v>
      </c>
      <c r="AI10" s="126"/>
      <c r="AJ10" s="31">
        <f>'Avaliação Física 5'!F84</f>
        <v>0</v>
      </c>
      <c r="AN10" s="126" t="s">
        <v>61</v>
      </c>
      <c r="AO10" s="126"/>
      <c r="AP10" s="72">
        <f>'Avaliação Física 5'!DV12</f>
        <v>0</v>
      </c>
      <c r="BC10" s="314" t="str">
        <f t="shared" si="0"/>
        <v>-</v>
      </c>
      <c r="BD10" s="314">
        <f t="shared" si="0"/>
        <v>1</v>
      </c>
      <c r="BE10" s="32" t="str">
        <f t="shared" si="0"/>
        <v>-</v>
      </c>
      <c r="CF10" s="126"/>
      <c r="CG10" s="126"/>
      <c r="CM10" s="314"/>
      <c r="CN10" s="314"/>
      <c r="CO10" s="32"/>
      <c r="DT10" s="490" t="s">
        <v>15</v>
      </c>
      <c r="DU10" s="490"/>
      <c r="DV10" s="490"/>
      <c r="EB10" s="477" t="s">
        <v>36</v>
      </c>
      <c r="EC10" s="477"/>
      <c r="ED10" s="477"/>
      <c r="EI10" s="14"/>
    </row>
    <row r="11" spans="2:146" ht="15.75" thickBot="1" x14ac:dyDescent="0.25">
      <c r="B11" s="227"/>
      <c r="C11" s="240"/>
      <c r="D11" s="221" t="s">
        <v>4</v>
      </c>
      <c r="E11" s="221"/>
      <c r="F11" s="221"/>
      <c r="G11" s="221"/>
      <c r="H11" s="221"/>
      <c r="I11" s="221"/>
      <c r="J11" s="221" t="s">
        <v>5</v>
      </c>
      <c r="K11" s="221"/>
      <c r="L11" s="221"/>
      <c r="M11" s="221"/>
      <c r="N11" s="221" t="s">
        <v>6</v>
      </c>
      <c r="O11" s="221"/>
      <c r="P11" s="278"/>
      <c r="Q11" s="227"/>
      <c r="S11" s="107"/>
      <c r="T11" s="107" t="b">
        <v>0</v>
      </c>
      <c r="U11" s="107"/>
      <c r="V11" s="106"/>
      <c r="AH11" s="126" t="s">
        <v>59</v>
      </c>
      <c r="AI11" s="138"/>
      <c r="AJ11" s="31">
        <f>'Avaliação Física 5'!F86</f>
        <v>0</v>
      </c>
      <c r="BC11" s="47"/>
      <c r="BD11" s="48"/>
      <c r="BE11" s="48"/>
      <c r="BF11" s="48"/>
      <c r="BG11" s="48"/>
      <c r="BH11" s="48"/>
      <c r="BI11" s="48"/>
      <c r="BJ11" s="48"/>
      <c r="BK11" s="49"/>
      <c r="BN11" s="47"/>
      <c r="BO11" s="48"/>
      <c r="BP11" s="48"/>
      <c r="BQ11" s="48"/>
      <c r="BR11" s="48"/>
      <c r="BS11" s="48"/>
      <c r="BT11" s="48"/>
      <c r="BU11" s="49"/>
      <c r="BZ11" s="126"/>
      <c r="CA11" s="126"/>
      <c r="CM11" s="47"/>
      <c r="CN11" s="48"/>
      <c r="CO11" s="48"/>
      <c r="CP11" s="48"/>
      <c r="CQ11" s="48"/>
      <c r="CR11" s="48"/>
      <c r="CS11" s="48"/>
      <c r="CT11" s="49"/>
      <c r="CU11" s="49"/>
      <c r="CX11" s="47"/>
      <c r="CY11" s="48"/>
      <c r="CZ11" s="48"/>
      <c r="DA11" s="48"/>
      <c r="DB11" s="48"/>
      <c r="DC11" s="48"/>
      <c r="DD11" s="48"/>
      <c r="DE11" s="49"/>
      <c r="DH11" s="314"/>
      <c r="DJ11" s="314"/>
      <c r="DK11" s="314"/>
      <c r="DL11" s="314"/>
      <c r="DN11" s="121" t="s">
        <v>27</v>
      </c>
      <c r="DO11" s="121"/>
      <c r="DT11" s="426" t="s">
        <v>118</v>
      </c>
      <c r="DU11" s="426"/>
      <c r="DV11" s="31">
        <f>'Avaliação Física 5'!F72</f>
        <v>0</v>
      </c>
      <c r="DX11" s="426" t="s">
        <v>26</v>
      </c>
      <c r="DY11" s="426"/>
      <c r="DZ11" s="9" t="e">
        <f>IF(DV11="","-",SUM(DV11/(DV12*DV12)))</f>
        <v>#DIV/0!</v>
      </c>
      <c r="EB11" s="478" t="str">
        <f>IF(DV12&gt;0,VLOOKUP(DZ11,AUX_IMC_Classificação581114[],2,TRUE),"(informe peso e altura)")</f>
        <v>(informe peso e altura)</v>
      </c>
      <c r="EC11" s="479"/>
      <c r="ED11" s="480"/>
      <c r="EI11" s="27" t="s">
        <v>39</v>
      </c>
    </row>
    <row r="12" spans="2:146" ht="15.75" thickBot="1" x14ac:dyDescent="0.25">
      <c r="B12" s="227"/>
      <c r="C12" s="240"/>
      <c r="D12" s="432"/>
      <c r="E12" s="433"/>
      <c r="F12" s="433"/>
      <c r="G12" s="433"/>
      <c r="H12" s="434"/>
      <c r="I12" s="221"/>
      <c r="J12" s="432"/>
      <c r="K12" s="433"/>
      <c r="L12" s="434"/>
      <c r="M12" s="221"/>
      <c r="N12" s="224"/>
      <c r="O12" s="221"/>
      <c r="P12" s="278"/>
      <c r="Q12" s="227"/>
      <c r="S12" s="107"/>
      <c r="T12" s="107" t="b">
        <v>0</v>
      </c>
      <c r="U12" s="107"/>
      <c r="V12" s="106"/>
      <c r="AH12" s="126" t="s">
        <v>51</v>
      </c>
      <c r="AI12" s="126"/>
      <c r="AJ12" s="31">
        <f>'Avaliação Física 5'!F87</f>
        <v>0</v>
      </c>
      <c r="AN12" s="126" t="s">
        <v>62</v>
      </c>
      <c r="AO12" s="126"/>
      <c r="AP12" s="44" t="str">
        <f>'Avaliação Física 5'!E91</f>
        <v>-</v>
      </c>
      <c r="AZ12" s="42" t="s">
        <v>62</v>
      </c>
      <c r="BC12" s="50"/>
      <c r="BJ12" s="51" t="s">
        <v>138</v>
      </c>
      <c r="BK12" s="52"/>
      <c r="BN12" s="50"/>
      <c r="BT12" s="42" t="s">
        <v>138</v>
      </c>
      <c r="BU12" s="52"/>
      <c r="BZ12" s="126" t="s">
        <v>149</v>
      </c>
      <c r="CA12" s="126"/>
      <c r="CB12" s="126"/>
      <c r="CC12" s="126"/>
      <c r="CD12" s="113">
        <f>'Avaliação Física 5'!L281</f>
        <v>0</v>
      </c>
      <c r="CF12" s="126" t="s">
        <v>150</v>
      </c>
      <c r="CG12" s="126"/>
      <c r="CH12" s="44" t="str">
        <f>IF(CD12="","-",DC18)</f>
        <v>-</v>
      </c>
      <c r="CI12" s="21"/>
      <c r="CM12" s="50"/>
      <c r="CS12" s="42" t="s">
        <v>138</v>
      </c>
      <c r="CT12" s="52"/>
      <c r="CU12" s="52"/>
      <c r="CX12" s="50"/>
      <c r="DD12" s="42" t="s">
        <v>138</v>
      </c>
      <c r="DE12" s="52"/>
      <c r="DH12" s="314"/>
      <c r="DJ12" s="314"/>
      <c r="DK12" s="314"/>
      <c r="DL12" s="314"/>
      <c r="DN12" s="121" t="str">
        <f>IF(AND(DK9=0,DM8&lt;=29),VLOOKUP(DO7,DH19:DI23,2,TRUE),IF(AND(DK9=0,DM8&lt;=39),VLOOKUP(DO7,DH26:DI30,2,TRUE),IF(AND(DK9=0,DM8&lt;=49),VLOOKUP(DO7,DH32:DI36,2,TRUE),IF(AND(DK9=0,DM8&lt;=59),VLOOKUP(DO7,DH38:DI42,2,TRUE),IF(AND(DK9=0,DM8&lt;=69),VLOOKUP(DO7,DH44:DI48,2,TRUE),IF(AND(DK9=1,DM8&lt;=29),VLOOKUP(DO7,DK19:DL23,2,TRUE),IF(AND(DK9=1,DM8&lt;=39),VLOOKUP(DO7,DK26:DL30,2,TRUE),IF(AND(DK9=1,DM8&lt;=49),VLOOKUP(DO7,DK32:DL36,2,TRUE),IF(AND(DK9=1,DM8&lt;=59),VLOOKUP(DO7,DK38:DL42,2,TRUE),IF(AND(DK9=1,DM8&lt;=69),VLOOKUP(DO7,DK44:DL48,2,TRUE),"-"))))))))))</f>
        <v>-</v>
      </c>
      <c r="DO12" s="121"/>
      <c r="DT12" s="426" t="s">
        <v>17</v>
      </c>
      <c r="DU12" s="426"/>
      <c r="DV12" s="45">
        <f>'Avaliação Física 5'!J72</f>
        <v>0</v>
      </c>
      <c r="EI12" s="15" t="e">
        <f>1.097-(0.00046971*(DV23))+(0.00000056*(DV23*DV23))-(0.00012828*(DV9))</f>
        <v>#VALUE!</v>
      </c>
      <c r="EL12" s="474" t="s">
        <v>45</v>
      </c>
      <c r="EM12" s="475"/>
      <c r="EN12" s="476"/>
    </row>
    <row r="13" spans="2:146" ht="15" x14ac:dyDescent="0.2">
      <c r="B13" s="227"/>
      <c r="C13" s="240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78"/>
      <c r="Q13" s="227"/>
      <c r="S13" s="107"/>
      <c r="T13" s="107" t="b">
        <v>0</v>
      </c>
      <c r="U13" s="107"/>
      <c r="V13" s="106"/>
      <c r="AH13" s="126" t="s">
        <v>52</v>
      </c>
      <c r="AI13" s="126"/>
      <c r="AJ13" s="31">
        <f>'Avaliação Física 5'!F88</f>
        <v>0</v>
      </c>
      <c r="AX13" s="42" t="s">
        <v>133</v>
      </c>
      <c r="AZ13" s="43" t="str">
        <f>AP12</f>
        <v>-</v>
      </c>
      <c r="BC13" s="50"/>
      <c r="BH13" s="42" t="s">
        <v>133</v>
      </c>
      <c r="BJ13" s="42"/>
      <c r="BK13" s="52"/>
      <c r="BN13" s="50"/>
      <c r="BR13" s="42" t="s">
        <v>133</v>
      </c>
      <c r="BT13" s="42">
        <v>11</v>
      </c>
      <c r="BU13" s="52"/>
      <c r="CM13" s="50"/>
      <c r="CQ13" s="42" t="s">
        <v>133</v>
      </c>
      <c r="CS13" s="42">
        <f>CD20</f>
        <v>0</v>
      </c>
      <c r="CT13" s="52"/>
      <c r="CU13" s="52"/>
      <c r="CX13" s="50"/>
      <c r="DB13" s="42" t="s">
        <v>133</v>
      </c>
      <c r="DD13" s="42">
        <f>CD12</f>
        <v>0</v>
      </c>
      <c r="DE13" s="52"/>
      <c r="EL13" s="20" t="s">
        <v>40</v>
      </c>
      <c r="EM13" s="21" t="e">
        <f>((4.95/EI9)-4.5)*100</f>
        <v>#VALUE!</v>
      </c>
      <c r="EN13" s="22"/>
    </row>
    <row r="14" spans="2:146" ht="15" x14ac:dyDescent="0.2">
      <c r="B14" s="227"/>
      <c r="C14" s="240"/>
      <c r="D14" s="221" t="s">
        <v>7</v>
      </c>
      <c r="E14" s="221"/>
      <c r="F14" s="221"/>
      <c r="G14" s="221"/>
      <c r="H14" s="221" t="s">
        <v>244</v>
      </c>
      <c r="I14" s="221"/>
      <c r="J14" s="221"/>
      <c r="K14" s="221"/>
      <c r="L14" s="221" t="s">
        <v>8</v>
      </c>
      <c r="M14" s="221"/>
      <c r="N14" s="306" t="s">
        <v>243</v>
      </c>
      <c r="O14" s="221"/>
      <c r="P14" s="278"/>
      <c r="Q14" s="227"/>
      <c r="S14" s="107"/>
      <c r="T14" s="107" t="b">
        <v>0</v>
      </c>
      <c r="U14" s="107"/>
      <c r="V14" s="106"/>
      <c r="AH14" s="310"/>
      <c r="AI14" s="310"/>
      <c r="AN14" s="126" t="s">
        <v>27</v>
      </c>
      <c r="AO14" s="126"/>
      <c r="AP14" s="130" t="str">
        <f>AY18</f>
        <v>-</v>
      </c>
      <c r="AQ14" s="130"/>
      <c r="AV14" s="42" t="s">
        <v>132</v>
      </c>
      <c r="AX14" s="42" t="str">
        <f>'Avaliação Física 5'!DV9</f>
        <v>-</v>
      </c>
      <c r="BC14" s="50"/>
      <c r="BF14" s="42" t="s">
        <v>132</v>
      </c>
      <c r="BH14" s="42" t="str">
        <f>AX14</f>
        <v>-</v>
      </c>
      <c r="BK14" s="52"/>
      <c r="BN14" s="50"/>
      <c r="BP14" s="42" t="s">
        <v>132</v>
      </c>
      <c r="BR14" s="42" t="str">
        <f>BH14</f>
        <v>-</v>
      </c>
      <c r="BU14" s="52"/>
      <c r="BZ14" s="310"/>
      <c r="CA14" s="310"/>
      <c r="CF14" s="126"/>
      <c r="CG14" s="126"/>
      <c r="CH14" s="126"/>
      <c r="CI14" s="126"/>
      <c r="CM14" s="50"/>
      <c r="CO14" s="42" t="s">
        <v>132</v>
      </c>
      <c r="CQ14" s="42" t="str">
        <f>CF9</f>
        <v>-</v>
      </c>
      <c r="CT14" s="52"/>
      <c r="CU14" s="52"/>
      <c r="CX14" s="50"/>
      <c r="CZ14" s="42" t="s">
        <v>132</v>
      </c>
      <c r="DB14" s="42" t="str">
        <f>CF9</f>
        <v>-</v>
      </c>
      <c r="DE14" s="52"/>
      <c r="DT14" s="490" t="s">
        <v>16</v>
      </c>
      <c r="DU14" s="490"/>
      <c r="DV14" s="490"/>
      <c r="EL14" s="23"/>
      <c r="EN14" s="22"/>
    </row>
    <row r="15" spans="2:146" ht="15" x14ac:dyDescent="0.2">
      <c r="B15" s="227"/>
      <c r="C15" s="240"/>
      <c r="D15" s="432"/>
      <c r="E15" s="433"/>
      <c r="F15" s="434"/>
      <c r="G15" s="221"/>
      <c r="H15" s="435"/>
      <c r="I15" s="433"/>
      <c r="J15" s="434"/>
      <c r="K15" s="221"/>
      <c r="L15" s="225"/>
      <c r="M15" s="220"/>
      <c r="N15" s="226"/>
      <c r="O15" s="221"/>
      <c r="P15" s="278"/>
      <c r="Q15" s="227"/>
      <c r="S15" s="107"/>
      <c r="T15" s="107" t="b">
        <v>0</v>
      </c>
      <c r="U15" s="107"/>
      <c r="V15" s="106"/>
      <c r="AH15" s="310"/>
      <c r="AI15" s="310"/>
      <c r="AJ15" s="314" t="s">
        <v>57</v>
      </c>
      <c r="AK15" s="314"/>
      <c r="AL15" s="314" t="s">
        <v>58</v>
      </c>
      <c r="AV15" s="42">
        <f>IF(L9="feminino",0,1)</f>
        <v>1</v>
      </c>
      <c r="BC15" s="50"/>
      <c r="BF15" s="42">
        <f>AV15</f>
        <v>1</v>
      </c>
      <c r="BK15" s="52"/>
      <c r="BN15" s="50"/>
      <c r="BP15" s="42">
        <f>BF15</f>
        <v>1</v>
      </c>
      <c r="BU15" s="52"/>
      <c r="CM15" s="50"/>
      <c r="CO15" s="42">
        <f>IF(CB9="feminino",0,1)</f>
        <v>1</v>
      </c>
      <c r="CT15" s="52"/>
      <c r="CU15" s="52"/>
      <c r="CX15" s="50"/>
      <c r="CZ15" s="42">
        <f>CO15</f>
        <v>1</v>
      </c>
      <c r="DE15" s="52"/>
      <c r="DT15" s="426" t="s">
        <v>18</v>
      </c>
      <c r="DU15" s="426"/>
      <c r="DV15" s="31">
        <f>'Avaliação Física 5'!F77</f>
        <v>0</v>
      </c>
      <c r="EL15" s="481" t="s">
        <v>44</v>
      </c>
      <c r="EM15" s="477"/>
      <c r="EN15" s="482"/>
    </row>
    <row r="16" spans="2:146" ht="15" x14ac:dyDescent="0.2">
      <c r="B16" s="227"/>
      <c r="C16" s="241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227"/>
      <c r="S16" s="107"/>
      <c r="T16" s="107" t="b">
        <v>0</v>
      </c>
      <c r="U16" s="107"/>
      <c r="V16" s="106"/>
      <c r="AH16" s="126" t="s">
        <v>53</v>
      </c>
      <c r="AI16" s="126"/>
      <c r="AJ16" s="31">
        <f>'Avaliação Física 5'!J84</f>
        <v>0</v>
      </c>
      <c r="AL16" s="31">
        <f>'Avaliação Física 5'!L84</f>
        <v>0</v>
      </c>
      <c r="AP16" s="314" t="s">
        <v>92</v>
      </c>
      <c r="AR16" s="314" t="s">
        <v>93</v>
      </c>
      <c r="BC16" s="133"/>
      <c r="BD16" s="126"/>
      <c r="BE16" s="314"/>
      <c r="BF16" s="314"/>
      <c r="BG16" s="314"/>
      <c r="BH16" s="314"/>
      <c r="BI16" s="126" t="s">
        <v>136</v>
      </c>
      <c r="BJ16" s="126"/>
      <c r="BK16" s="53"/>
      <c r="BL16" s="314"/>
      <c r="BM16" s="314"/>
      <c r="BN16" s="50"/>
      <c r="BS16" s="126" t="s">
        <v>137</v>
      </c>
      <c r="BT16" s="126"/>
      <c r="BU16" s="52"/>
      <c r="CM16" s="50"/>
      <c r="CR16" s="126" t="s">
        <v>136</v>
      </c>
      <c r="CS16" s="126"/>
      <c r="CT16" s="52"/>
      <c r="CU16" s="53"/>
      <c r="CV16" s="314"/>
      <c r="CW16" s="314"/>
      <c r="CX16" s="50"/>
      <c r="DC16" s="126" t="s">
        <v>137</v>
      </c>
      <c r="DD16" s="126"/>
      <c r="DE16" s="52"/>
      <c r="DT16" s="426" t="s">
        <v>19</v>
      </c>
      <c r="DU16" s="426"/>
      <c r="DV16" s="31">
        <f>'Avaliação Física 5'!F78</f>
        <v>0</v>
      </c>
      <c r="EH16" s="6" t="s">
        <v>26</v>
      </c>
      <c r="EI16" s="6" t="s">
        <v>27</v>
      </c>
      <c r="EL16" s="20" t="s">
        <v>40</v>
      </c>
      <c r="EM16" s="21" t="e">
        <f>((4.95/EI12)-4.5)*100</f>
        <v>#VALUE!</v>
      </c>
      <c r="EN16" s="22"/>
    </row>
    <row r="17" spans="2:144" ht="6" customHeight="1" thickBot="1" x14ac:dyDescent="0.25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S17" s="107"/>
      <c r="T17" s="107"/>
      <c r="U17" s="107"/>
      <c r="V17" s="106"/>
      <c r="AH17" s="126" t="s">
        <v>54</v>
      </c>
      <c r="AI17" s="126"/>
      <c r="AJ17" s="31">
        <f>'Avaliação Física 5'!J85</f>
        <v>0</v>
      </c>
      <c r="AL17" s="31">
        <f>'Avaliação Física 5'!L85</f>
        <v>0</v>
      </c>
      <c r="AN17" s="126" t="s">
        <v>12</v>
      </c>
      <c r="AO17" s="138"/>
      <c r="AP17" s="113"/>
      <c r="AR17" s="113"/>
      <c r="AU17" s="122" t="s">
        <v>37</v>
      </c>
      <c r="AV17" s="122"/>
      <c r="AY17" s="121" t="s">
        <v>27</v>
      </c>
      <c r="AZ17" s="121"/>
      <c r="BC17" s="134"/>
      <c r="BD17" s="85"/>
      <c r="BE17" s="122" t="s">
        <v>37</v>
      </c>
      <c r="BF17" s="122"/>
      <c r="BI17" s="121" t="s">
        <v>27</v>
      </c>
      <c r="BJ17" s="121"/>
      <c r="BK17" s="54"/>
      <c r="BL17" s="114"/>
      <c r="BM17" s="114"/>
      <c r="BN17" s="50"/>
      <c r="BO17" s="122" t="s">
        <v>37</v>
      </c>
      <c r="BP17" s="122"/>
      <c r="BS17" s="121" t="s">
        <v>27</v>
      </c>
      <c r="BT17" s="121"/>
      <c r="BU17" s="52"/>
      <c r="BZ17" s="126" t="s">
        <v>41</v>
      </c>
      <c r="CA17" s="126"/>
      <c r="CB17" s="144">
        <f>CB9</f>
        <v>0</v>
      </c>
      <c r="CC17" s="145"/>
      <c r="CD17" s="126" t="s">
        <v>148</v>
      </c>
      <c r="CE17" s="126"/>
      <c r="CF17" s="144" t="str">
        <f>CF9</f>
        <v>-</v>
      </c>
      <c r="CG17" s="145"/>
      <c r="CM17" s="50"/>
      <c r="CN17" s="122" t="s">
        <v>37</v>
      </c>
      <c r="CO17" s="122"/>
      <c r="CR17" s="121" t="s">
        <v>27</v>
      </c>
      <c r="CS17" s="121"/>
      <c r="CT17" s="52"/>
      <c r="CU17" s="54"/>
      <c r="CV17" s="114"/>
      <c r="CW17" s="114"/>
      <c r="CX17" s="50"/>
      <c r="CY17" s="122" t="s">
        <v>37</v>
      </c>
      <c r="CZ17" s="122"/>
      <c r="DC17" s="121" t="s">
        <v>27</v>
      </c>
      <c r="DD17" s="121"/>
      <c r="DE17" s="52"/>
      <c r="DH17" s="122" t="s">
        <v>37</v>
      </c>
      <c r="DI17" s="122"/>
      <c r="DK17" s="123" t="s">
        <v>135</v>
      </c>
      <c r="DL17" s="123"/>
      <c r="DT17" s="426" t="s">
        <v>20</v>
      </c>
      <c r="DU17" s="426"/>
      <c r="DV17" s="31">
        <f>'Avaliação Física 5'!J77</f>
        <v>0</v>
      </c>
      <c r="EH17" s="7">
        <v>0</v>
      </c>
      <c r="EI17" s="7" t="s">
        <v>28</v>
      </c>
      <c r="EL17" s="24"/>
      <c r="EM17" s="25"/>
      <c r="EN17" s="26"/>
    </row>
    <row r="18" spans="2:144" ht="15" x14ac:dyDescent="0.2">
      <c r="B18" s="227"/>
      <c r="C18" s="362" t="s">
        <v>202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227"/>
      <c r="S18" s="106"/>
      <c r="T18" s="106"/>
      <c r="U18" s="106"/>
      <c r="V18" s="106"/>
      <c r="AH18" s="126" t="s">
        <v>55</v>
      </c>
      <c r="AI18" s="126"/>
      <c r="AJ18" s="31">
        <f>'Avaliação Física 5'!J86</f>
        <v>0</v>
      </c>
      <c r="AL18" s="31">
        <f>'Avaliação Física 5'!L86</f>
        <v>0</v>
      </c>
      <c r="AU18" s="124" t="s">
        <v>64</v>
      </c>
      <c r="AV18" s="124"/>
      <c r="AY18" s="121" t="str">
        <f>IF(AND(AV15=0,AX14&lt;=29),VLOOKUP(AZ13,AU19:AV22,2,TRUE),IF(AND(AV15=0,AX14&lt;=39),VLOOKUP(AZ13,AU26:AV29,2,TRUE),IF(AND(AV15=0,AX14&lt;=49),VLOOKUP(AZ13,AU32:AV36,2,TRUE),IF(AND(AV15=0,AX14&lt;=59),VLOOKUP(AZ13,AU38:AV41,2,TRUE),IF(AND(AV15=0,AX14&lt;=69),VLOOKUP(AZ13,AU44:AV47,2,TRUE),IF(AND(AV15=1,AX14&lt;=29),VLOOKUP(AZ13,AX25:AY28,2,TRUE),IF(AND(AV15=1,AX14&lt;=39),VLOOKUP(AZ13,AX32:AY35,2,TRUE),IF(AND(AV15=1,AX14&lt;=49),VLOOKUP(AZ13,AX38:AY41,2,TRUE),IF(AND(AV15=1,AX14&lt;=59),VLOOKUP(AZ13,AX44:AY47,2,TRUE),IF(AND(AV15=1,AX14&lt;=69),VLOOKUP(AZ13,AX50:AY53,2,TRUE),"-"))))))))))</f>
        <v>-</v>
      </c>
      <c r="AZ18" s="121"/>
      <c r="BC18" s="134"/>
      <c r="BD18" s="85"/>
      <c r="BE18" s="124" t="s">
        <v>64</v>
      </c>
      <c r="BF18" s="124"/>
      <c r="BI18" s="121" t="str">
        <f>IF(AND(BF15=0,BH14&lt;=29),VLOOKUP(BJ13,BE19:BF22,2,TRUE),IF(AND(BF15=0,BH14&lt;=39),VLOOKUP(BJ13,BE26:BF27,2,TRUE),IF(AND(BF15=0,BH14&lt;=49),VLOOKUP(BJ13,#REF!,2,TRUE),IF(AND(BF15=0,BH14&lt;=59),VLOOKUP(BJ13,#REF!,2,TRUE),IF(AND(BF15=0,BH14&lt;=69),VLOOKUP(BJ13,BE28:BF31,2,TRUE),IF(AND(BF15=1,BH14&lt;=29),VLOOKUP(BJ13,BH25:BI27,2,TRUE),IF(AND(BF15=1,BH14&lt;=39),VLOOKUP(BJ13,#REF!,2,TRUE),IF(AND(BF15=1,BH14&lt;=49),VLOOKUP(BJ13,#REF!,2,TRUE),IF(AND(BF15=1,BH14&lt;=59),VLOOKUP(BJ13,BH28:BI31,2,TRUE),IF(AND(BF15=1,BH14&lt;=69),VLOOKUP(BJ13,BH34:BI40,2,TRUE),"-"))))))))))</f>
        <v>-</v>
      </c>
      <c r="BJ18" s="121"/>
      <c r="BK18" s="54"/>
      <c r="BL18" s="114"/>
      <c r="BM18" s="114"/>
      <c r="BN18" s="50"/>
      <c r="BO18" s="124" t="s">
        <v>139</v>
      </c>
      <c r="BP18" s="124"/>
      <c r="BS18" s="121" t="str">
        <f>IF(AND(BP15=0,BR14&lt;=19),VLOOKUP(BT13,BO19:BP23,2,TRUE),IF(AND(BP15=0,BR14&lt;=29),VLOOKUP(BT13,BO26:BP27,2,TRUE),IF(AND(BP15=0,BR14&lt;=39),VLOOKUP(BT13,#REF!,2,TRUE),IF(AND(BP15=0,BR14&lt;=49),VLOOKUP(BT13,#REF!,2,TRUE),IF(AND(BP15=0,BR14&lt;=59),VLOOKUP(BT13,BO28:BP31,2,TRUE),IF(AND(BP15=0,BR14&lt;=69),VLOOKUP(BT13,BO38:BP42,2,TRUE),IF(AND(BP15=1,BR14&lt;=19),VLOOKUP(BT13,BR25:BS27,2,TRUE),IF(AND(BP15=1,BR14&lt;=29),VLOOKUP(BT13,#REF!,2,TRUE),IF(AND(BP15=1,BR14&lt;=39),VLOOKUP(BT13,#REF!,2,TRUE),IF(AND(BP15=1,BR14&lt;=49),VLOOKUP(BT13,BR28:BS31,2,TRUE),IF(AND(BP15=1,BR14&lt;=59),VLOOKUP(BT13,BR34:BS40,2,TRUE),IF(AND(BP15=1,BR14&lt;=69),VLOOKUP(BT13,BR44:BS48,2,TRUE),"-"))))))))))))</f>
        <v>-</v>
      </c>
      <c r="BT18" s="121"/>
      <c r="BU18" s="52"/>
      <c r="CF18" s="126"/>
      <c r="CG18" s="126"/>
      <c r="CM18" s="50"/>
      <c r="CN18" s="124" t="s">
        <v>139</v>
      </c>
      <c r="CO18" s="124"/>
      <c r="CR18" s="121" t="str">
        <f>IF(AND(CO15=0,CQ14&lt;=19),VLOOKUP(CS13,CN19:CO23,2,TRUE),IF(AND(CO15=0,CQ14&lt;=29),VLOOKUP(CS13,CN26:CO30,2,TRUE),IF(AND(CO15=0,CQ14&lt;=39),VLOOKUP(CS13,CN32:CO36,2,TRUE),IF(AND(CO15=0,CQ14&lt;=49),VLOOKUP(CS13,CN38:CO42,2,TRUE),IF(AND(CO15=0,CQ14&lt;=59),VLOOKUP(CS13,CN44:CO48,2,TRUE),IF(AND(CO15=0,CQ14&lt;=69),VLOOKUP(CS13,CN51:CO55,2,TRUE),IF(AND(CO15=1,CQ14&lt;=19),VLOOKUP(CS13,CQ25:CR29,2,TRUE),IF(AND(CO15=1,CQ14&lt;=29),VLOOKUP(CS13,CQ32:CR36,2,TRUE),IF(AND(CO15=1,CQ14&lt;=39),VLOOKUP(CS13,CQ38:CR42,2,TRUE),IF(AND(CO15=1,CQ14&lt;=49),VLOOKUP(CS13,CQ44:CR48,2,TRUE),IF(AND(CO15=1,CQ14&lt;=59),VLOOKUP(CS13,CQ50:CR54,2,TRUE),IF(AND(CO15=1,CQ14&lt;=69),VLOOKUP(CS13,CQ57:CR61,2,TRUE),"-"))))))))))))</f>
        <v>-</v>
      </c>
      <c r="CS18" s="121"/>
      <c r="CT18" s="52"/>
      <c r="CU18" s="54"/>
      <c r="CV18" s="114"/>
      <c r="CW18" s="114"/>
      <c r="CX18" s="50"/>
      <c r="CY18" s="124" t="s">
        <v>139</v>
      </c>
      <c r="CZ18" s="124"/>
      <c r="DC18" s="121" t="str">
        <f>IF(AND(CZ15=0,DB14&lt;=19),VLOOKUP(DD13,CY19:CZ23,2,TRUE),IF(AND(CZ15=0,DB14&lt;=29),VLOOKUP(DD13,CY26:CZ30,2,TRUE),IF(AND(CZ15=0,DB14&lt;=39),VLOOKUP(DD13,CY32:CZ36,2,TRUE),IF(AND(CZ15=0,DB14&lt;=49),VLOOKUP(DD13,CY38:CZ42,2,TRUE),IF(AND(CZ15=0,DB14&lt;=59),VLOOKUP(DD13,CY44:CZ48,2,TRUE),IF(AND(CZ15=0,DB14&lt;=69),VLOOKUP(DD13,CY51:CZ55,2,TRUE),IF(AND(CZ15=1,DB14&lt;=19),VLOOKUP(DD13,DB25:DC28,2,TRUE),IF(AND(CZ15=1,DB14&lt;=29),VLOOKUP(DD13,DB32:DC36,2,TRUE),IF(AND(CZ15=1,DB14&lt;=39),VLOOKUP(DD13,DB38:DC42,2,TRUE),IF(AND(CZ15=1,DB14&lt;=49),VLOOKUP(DD13,DB44:DC48,2,TRUE),IF(AND(CZ15=1,DB14&lt;=59),VLOOKUP(DD13,DB50:DC54,2,TRUE),IF(AND(CZ15=1,DB14&lt;=69),VLOOKUP(DD13,DB57:DC61,2,TRUE),"-"))))))))))))</f>
        <v>-</v>
      </c>
      <c r="DD18" s="121"/>
      <c r="DE18" s="52"/>
      <c r="DH18" s="124" t="s">
        <v>195</v>
      </c>
      <c r="DI18" s="124"/>
      <c r="DK18" s="125" t="s">
        <v>195</v>
      </c>
      <c r="DL18" s="125"/>
      <c r="DT18" s="426" t="s">
        <v>21</v>
      </c>
      <c r="DU18" s="426"/>
      <c r="DV18" s="31">
        <f>'Avaliação Física 5'!J78</f>
        <v>0</v>
      </c>
      <c r="EH18" s="7">
        <v>16.100000000000001</v>
      </c>
      <c r="EI18" s="7" t="s">
        <v>29</v>
      </c>
    </row>
    <row r="19" spans="2:144" ht="15.75" thickBot="1" x14ac:dyDescent="0.25">
      <c r="B19" s="227"/>
      <c r="C19" s="238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76"/>
      <c r="P19" s="277"/>
      <c r="Q19" s="227"/>
      <c r="AH19" s="126" t="s">
        <v>56</v>
      </c>
      <c r="AI19" s="126"/>
      <c r="AJ19" s="31">
        <f>'Avaliação Física 5'!J87</f>
        <v>0</v>
      </c>
      <c r="AL19" s="31">
        <f>'Avaliação Física 5'!L87</f>
        <v>0</v>
      </c>
      <c r="AN19" s="126" t="s">
        <v>91</v>
      </c>
      <c r="AO19" s="138"/>
      <c r="AP19" s="31"/>
      <c r="AQ19" s="131" t="s">
        <v>94</v>
      </c>
      <c r="AR19" s="126"/>
      <c r="AU19" s="33">
        <v>0.01</v>
      </c>
      <c r="AV19" s="34" t="s">
        <v>126</v>
      </c>
      <c r="BC19" s="134"/>
      <c r="BD19" s="85"/>
      <c r="BE19" s="33">
        <v>0.01</v>
      </c>
      <c r="BF19" s="34" t="s">
        <v>126</v>
      </c>
      <c r="BK19" s="54"/>
      <c r="BL19" s="114"/>
      <c r="BM19" s="114"/>
      <c r="BN19" s="50"/>
      <c r="BO19" s="58">
        <v>1</v>
      </c>
      <c r="BP19" s="34" t="s">
        <v>144</v>
      </c>
      <c r="BU19" s="52"/>
      <c r="BZ19" s="126"/>
      <c r="CA19" s="126"/>
      <c r="CM19" s="50"/>
      <c r="CN19" s="67">
        <v>0</v>
      </c>
      <c r="CO19" s="34" t="s">
        <v>144</v>
      </c>
      <c r="CT19" s="52"/>
      <c r="CU19" s="54"/>
      <c r="CV19" s="114"/>
      <c r="CW19" s="114"/>
      <c r="CX19" s="50"/>
      <c r="CY19" s="67">
        <v>0</v>
      </c>
      <c r="CZ19" s="34" t="s">
        <v>144</v>
      </c>
      <c r="DE19" s="52"/>
      <c r="DH19" s="67">
        <v>0</v>
      </c>
      <c r="DI19" s="34" t="s">
        <v>196</v>
      </c>
      <c r="DK19" s="63">
        <v>0</v>
      </c>
      <c r="DL19" s="37" t="s">
        <v>196</v>
      </c>
      <c r="DT19" s="426" t="s">
        <v>43</v>
      </c>
      <c r="DU19" s="426"/>
      <c r="DV19" s="31">
        <f>'Avaliação Física 5'!J79</f>
        <v>0</v>
      </c>
      <c r="EH19" s="7">
        <v>17</v>
      </c>
      <c r="EI19" s="7" t="s">
        <v>30</v>
      </c>
    </row>
    <row r="20" spans="2:144" ht="15" x14ac:dyDescent="0.2">
      <c r="B20" s="227"/>
      <c r="C20" s="240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21"/>
      <c r="P20" s="278"/>
      <c r="Q20" s="227"/>
      <c r="AU20" s="34">
        <v>0.71</v>
      </c>
      <c r="AV20" s="34" t="s">
        <v>127</v>
      </c>
      <c r="BC20" s="134"/>
      <c r="BD20" s="85"/>
      <c r="BE20" s="34">
        <v>0.71</v>
      </c>
      <c r="BF20" s="34" t="s">
        <v>127</v>
      </c>
      <c r="BK20" s="54"/>
      <c r="BL20" s="114"/>
      <c r="BM20" s="114"/>
      <c r="BN20" s="50"/>
      <c r="BO20" s="58">
        <v>12</v>
      </c>
      <c r="BP20" s="34" t="s">
        <v>143</v>
      </c>
      <c r="BU20" s="52"/>
      <c r="BZ20" s="126" t="s">
        <v>149</v>
      </c>
      <c r="CA20" s="126"/>
      <c r="CB20" s="126"/>
      <c r="CC20" s="126"/>
      <c r="CD20" s="113">
        <f>'Avaliação Física 5'!L272</f>
        <v>0</v>
      </c>
      <c r="CF20" s="126" t="s">
        <v>150</v>
      </c>
      <c r="CG20" s="126"/>
      <c r="CH20" s="44" t="str">
        <f>IF(CD20="","-",CR18)</f>
        <v>-</v>
      </c>
      <c r="CI20" s="21"/>
      <c r="CM20" s="50"/>
      <c r="CN20" s="67">
        <v>27</v>
      </c>
      <c r="CO20" s="34" t="s">
        <v>143</v>
      </c>
      <c r="CT20" s="52"/>
      <c r="CU20" s="54"/>
      <c r="CV20" s="114"/>
      <c r="CW20" s="114"/>
      <c r="CX20" s="50"/>
      <c r="CY20" s="67">
        <v>12</v>
      </c>
      <c r="CZ20" s="34" t="s">
        <v>143</v>
      </c>
      <c r="DE20" s="52"/>
      <c r="DH20" s="67">
        <v>24</v>
      </c>
      <c r="DI20" s="34" t="s">
        <v>144</v>
      </c>
      <c r="DK20" s="63">
        <v>25</v>
      </c>
      <c r="DL20" s="37" t="s">
        <v>144</v>
      </c>
      <c r="DT20" s="426" t="s">
        <v>22</v>
      </c>
      <c r="DU20" s="426"/>
      <c r="DV20" s="31">
        <f>'Avaliação Física 5'!N77</f>
        <v>0</v>
      </c>
      <c r="EH20" s="7">
        <v>18.5</v>
      </c>
      <c r="EI20" s="7" t="s">
        <v>31</v>
      </c>
      <c r="EL20" s="17" t="s">
        <v>42</v>
      </c>
    </row>
    <row r="21" spans="2:144" ht="6" customHeight="1" thickBot="1" x14ac:dyDescent="0.25">
      <c r="B21" s="227"/>
      <c r="C21" s="241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79"/>
      <c r="P21" s="280"/>
      <c r="Q21" s="227"/>
      <c r="AH21" s="135" t="s">
        <v>60</v>
      </c>
      <c r="AI21" s="135"/>
      <c r="AJ21" s="135"/>
      <c r="AK21" s="135"/>
      <c r="AL21" s="135"/>
      <c r="AU21" s="34">
        <v>0.78</v>
      </c>
      <c r="AV21" s="34" t="s">
        <v>128</v>
      </c>
      <c r="BC21" s="134"/>
      <c r="BD21" s="85"/>
      <c r="BE21" s="34">
        <v>0.78</v>
      </c>
      <c r="BF21" s="34" t="s">
        <v>128</v>
      </c>
      <c r="BK21" s="54"/>
      <c r="BL21" s="114"/>
      <c r="BM21" s="114"/>
      <c r="BN21" s="50"/>
      <c r="BO21" s="58">
        <v>18</v>
      </c>
      <c r="BP21" s="34" t="s">
        <v>142</v>
      </c>
      <c r="BU21" s="52"/>
      <c r="CM21" s="50"/>
      <c r="CN21" s="67">
        <v>32</v>
      </c>
      <c r="CO21" s="34" t="s">
        <v>142</v>
      </c>
      <c r="CT21" s="52"/>
      <c r="CU21" s="54"/>
      <c r="CV21" s="114"/>
      <c r="CW21" s="114"/>
      <c r="CX21" s="50"/>
      <c r="CY21" s="67">
        <v>18</v>
      </c>
      <c r="CZ21" s="34" t="s">
        <v>142</v>
      </c>
      <c r="DE21" s="52"/>
      <c r="DH21" s="67">
        <v>31</v>
      </c>
      <c r="DI21" s="34" t="s">
        <v>143</v>
      </c>
      <c r="DK21" s="63">
        <v>34</v>
      </c>
      <c r="DL21" s="37" t="s">
        <v>143</v>
      </c>
      <c r="DT21" s="426" t="s">
        <v>23</v>
      </c>
      <c r="DU21" s="426"/>
      <c r="DV21" s="31">
        <f>'Avaliação Física 5'!N78</f>
        <v>0</v>
      </c>
      <c r="EH21" s="7">
        <v>24.5</v>
      </c>
      <c r="EI21" s="7" t="s">
        <v>32</v>
      </c>
      <c r="EL21" s="18" t="e">
        <f>IF(EJ4=0,SUM(1.097-(0.00046971*(DV23))+(0.00000056*(DV23*DV23))-(0.00012828*(DV9))),SUM(1.112-(0.00043499*(DV23))+(0.00000055*(DV23*DV23))-(0.00028826*(DV9))))</f>
        <v>#VALUE!</v>
      </c>
    </row>
    <row r="22" spans="2:144" ht="5.45" customHeight="1" x14ac:dyDescent="0.2">
      <c r="B22" s="227"/>
      <c r="Q22" s="227"/>
      <c r="AH22" s="314"/>
      <c r="AI22" s="314"/>
      <c r="AJ22" s="314" t="s">
        <v>57</v>
      </c>
      <c r="AK22" s="314"/>
      <c r="AL22" s="314" t="s">
        <v>58</v>
      </c>
      <c r="AU22" s="34">
        <v>0.83</v>
      </c>
      <c r="AV22" s="34" t="s">
        <v>129</v>
      </c>
      <c r="BC22" s="50"/>
      <c r="BE22" s="34">
        <v>0.83</v>
      </c>
      <c r="BF22" s="34" t="s">
        <v>129</v>
      </c>
      <c r="BK22" s="54"/>
      <c r="BL22" s="114"/>
      <c r="BM22" s="114"/>
      <c r="BN22" s="50"/>
      <c r="BO22" s="58">
        <v>25</v>
      </c>
      <c r="BP22" s="34" t="s">
        <v>140</v>
      </c>
      <c r="BU22" s="52"/>
      <c r="BZ22" s="310"/>
      <c r="CA22" s="310"/>
      <c r="CF22" s="126"/>
      <c r="CG22" s="126"/>
      <c r="CH22" s="126"/>
      <c r="CI22" s="126"/>
      <c r="CM22" s="50"/>
      <c r="CN22" s="67">
        <v>36</v>
      </c>
      <c r="CO22" s="34" t="s">
        <v>140</v>
      </c>
      <c r="CT22" s="52"/>
      <c r="CU22" s="54"/>
      <c r="CV22" s="114"/>
      <c r="CW22" s="114"/>
      <c r="CX22" s="50"/>
      <c r="CY22" s="67">
        <v>25</v>
      </c>
      <c r="CZ22" s="34" t="s">
        <v>140</v>
      </c>
      <c r="DE22" s="52"/>
      <c r="DH22" s="67">
        <v>38</v>
      </c>
      <c r="DI22" s="34" t="s">
        <v>140</v>
      </c>
      <c r="DK22" s="63">
        <v>45</v>
      </c>
      <c r="DL22" s="37" t="s">
        <v>140</v>
      </c>
      <c r="EH22" s="7">
        <v>30</v>
      </c>
      <c r="EI22" s="7" t="s">
        <v>33</v>
      </c>
    </row>
    <row r="23" spans="2:144" ht="15" customHeight="1" thickBot="1" x14ac:dyDescent="0.25">
      <c r="B23" s="227"/>
      <c r="C23" s="362" t="s">
        <v>225</v>
      </c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227"/>
      <c r="AH23" s="136" t="s">
        <v>224</v>
      </c>
      <c r="AI23" s="137"/>
      <c r="AJ23" s="31"/>
      <c r="AL23" s="31"/>
      <c r="AU23" s="35"/>
      <c r="AV23" s="35"/>
      <c r="AX23" s="123" t="s">
        <v>135</v>
      </c>
      <c r="AY23" s="123"/>
      <c r="AZ23" s="21"/>
      <c r="BC23" s="134"/>
      <c r="BD23" s="85"/>
      <c r="BE23" s="35"/>
      <c r="BF23" s="35"/>
      <c r="BH23" s="123" t="s">
        <v>135</v>
      </c>
      <c r="BI23" s="123"/>
      <c r="BJ23" s="21"/>
      <c r="BK23" s="54"/>
      <c r="BL23" s="114"/>
      <c r="BM23" s="114"/>
      <c r="BN23" s="50"/>
      <c r="BO23" s="35">
        <v>33</v>
      </c>
      <c r="BP23" s="35" t="s">
        <v>141</v>
      </c>
      <c r="BR23" s="123" t="s">
        <v>135</v>
      </c>
      <c r="BS23" s="123"/>
      <c r="BT23" s="21"/>
      <c r="BU23" s="52"/>
      <c r="CM23" s="50"/>
      <c r="CN23" s="66">
        <v>42</v>
      </c>
      <c r="CO23" s="35" t="s">
        <v>141</v>
      </c>
      <c r="CQ23" s="123" t="s">
        <v>135</v>
      </c>
      <c r="CR23" s="123"/>
      <c r="CS23" s="21"/>
      <c r="CT23" s="52"/>
      <c r="CU23" s="54"/>
      <c r="CV23" s="114"/>
      <c r="CW23" s="114"/>
      <c r="CX23" s="50"/>
      <c r="CY23" s="66">
        <v>33</v>
      </c>
      <c r="CZ23" s="35" t="s">
        <v>141</v>
      </c>
      <c r="DB23" s="123" t="s">
        <v>135</v>
      </c>
      <c r="DC23" s="123"/>
      <c r="DD23" s="21"/>
      <c r="DE23" s="52"/>
      <c r="DH23" s="66">
        <v>49</v>
      </c>
      <c r="DI23" s="35" t="s">
        <v>141</v>
      </c>
      <c r="DK23" s="64">
        <v>53</v>
      </c>
      <c r="DL23" s="38" t="s">
        <v>141</v>
      </c>
      <c r="DT23" s="426" t="s">
        <v>24</v>
      </c>
      <c r="DU23" s="426"/>
      <c r="DV23" s="8">
        <f>IF(DV15="","-",SUM(DV15:DV21))</f>
        <v>0</v>
      </c>
      <c r="EH23" s="7">
        <v>35</v>
      </c>
      <c r="EI23" s="7" t="s">
        <v>34</v>
      </c>
    </row>
    <row r="24" spans="2:144" ht="14.45" customHeight="1" x14ac:dyDescent="0.2">
      <c r="C24" s="23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  <c r="AH24" s="139"/>
      <c r="AI24" s="140"/>
      <c r="AJ24" s="31"/>
      <c r="AL24" s="31"/>
      <c r="AU24" s="35"/>
      <c r="AV24" s="35"/>
      <c r="AX24" s="125" t="s">
        <v>64</v>
      </c>
      <c r="AY24" s="125"/>
      <c r="BC24" s="134"/>
      <c r="BD24" s="85"/>
      <c r="BE24" s="35"/>
      <c r="BF24" s="35"/>
      <c r="BH24" s="125" t="s">
        <v>64</v>
      </c>
      <c r="BI24" s="125"/>
      <c r="BK24" s="54"/>
      <c r="BL24" s="114"/>
      <c r="BM24" s="114"/>
      <c r="BN24" s="50"/>
      <c r="BO24" s="35"/>
      <c r="BP24" s="35"/>
      <c r="BR24" s="125" t="s">
        <v>147</v>
      </c>
      <c r="BS24" s="125"/>
      <c r="BU24" s="52"/>
      <c r="CM24" s="50"/>
      <c r="CN24" s="35"/>
      <c r="CO24" s="35"/>
      <c r="CQ24" s="125" t="s">
        <v>147</v>
      </c>
      <c r="CR24" s="125"/>
      <c r="CT24" s="52"/>
      <c r="CU24" s="54"/>
      <c r="CV24" s="114"/>
      <c r="CW24" s="114"/>
      <c r="CX24" s="50"/>
      <c r="CY24" s="35"/>
      <c r="CZ24" s="35"/>
      <c r="DB24" s="125" t="s">
        <v>147</v>
      </c>
      <c r="DC24" s="125"/>
      <c r="DE24" s="52"/>
      <c r="DH24" s="35"/>
      <c r="DI24" s="35"/>
      <c r="DK24" s="38"/>
      <c r="DL24" s="38"/>
      <c r="EH24" s="7"/>
      <c r="EI24" s="7"/>
      <c r="EL24" s="13"/>
    </row>
    <row r="25" spans="2:144" ht="14.45" customHeight="1" x14ac:dyDescent="0.2">
      <c r="C25" s="240"/>
      <c r="D25" s="221" t="s">
        <v>247</v>
      </c>
      <c r="E25" s="221"/>
      <c r="F25" s="221"/>
      <c r="G25" s="221"/>
      <c r="H25" s="221"/>
      <c r="I25" s="221"/>
      <c r="J25" s="460"/>
      <c r="K25" s="460"/>
      <c r="L25" s="460"/>
      <c r="M25" s="460"/>
      <c r="N25" s="460"/>
      <c r="O25" s="221"/>
      <c r="P25" s="278"/>
      <c r="AH25" s="139"/>
      <c r="AI25" s="140"/>
      <c r="AJ25" s="31"/>
      <c r="AL25" s="31"/>
      <c r="AU25" s="124" t="s">
        <v>65</v>
      </c>
      <c r="AV25" s="124"/>
      <c r="AX25" s="40">
        <v>0.01</v>
      </c>
      <c r="AY25" s="37" t="s">
        <v>126</v>
      </c>
      <c r="BC25" s="134"/>
      <c r="BD25" s="85"/>
      <c r="BE25" s="124" t="s">
        <v>65</v>
      </c>
      <c r="BF25" s="124"/>
      <c r="BH25" s="40">
        <v>0.01</v>
      </c>
      <c r="BI25" s="37" t="s">
        <v>126</v>
      </c>
      <c r="BK25" s="54"/>
      <c r="BL25" s="114"/>
      <c r="BM25" s="114"/>
      <c r="BN25" s="50"/>
      <c r="BO25" s="124" t="s">
        <v>145</v>
      </c>
      <c r="BP25" s="124"/>
      <c r="BR25" s="63">
        <v>1</v>
      </c>
      <c r="BS25" s="37" t="s">
        <v>144</v>
      </c>
      <c r="BU25" s="52"/>
      <c r="BZ25" s="126" t="s">
        <v>41</v>
      </c>
      <c r="CA25" s="126"/>
      <c r="CB25" s="144">
        <f>CB17</f>
        <v>0</v>
      </c>
      <c r="CC25" s="145"/>
      <c r="CD25" s="126" t="s">
        <v>148</v>
      </c>
      <c r="CE25" s="126"/>
      <c r="CF25" s="144" t="str">
        <f>CF17</f>
        <v>-</v>
      </c>
      <c r="CG25" s="145"/>
      <c r="CH25" s="131" t="s">
        <v>197</v>
      </c>
      <c r="CI25" s="138"/>
      <c r="CJ25" s="10">
        <f>'Avaliação Física 5'!DV11</f>
        <v>0</v>
      </c>
      <c r="CM25" s="50"/>
      <c r="CN25" s="124" t="s">
        <v>145</v>
      </c>
      <c r="CO25" s="124"/>
      <c r="CQ25" s="63">
        <v>0</v>
      </c>
      <c r="CR25" s="37" t="s">
        <v>144</v>
      </c>
      <c r="CT25" s="52"/>
      <c r="CU25" s="54"/>
      <c r="CV25" s="114"/>
      <c r="CW25" s="114"/>
      <c r="CX25" s="50"/>
      <c r="CY25" s="124" t="s">
        <v>145</v>
      </c>
      <c r="CZ25" s="124"/>
      <c r="DB25" s="63">
        <v>0</v>
      </c>
      <c r="DC25" s="37" t="s">
        <v>144</v>
      </c>
      <c r="DE25" s="52"/>
      <c r="DH25" s="124" t="s">
        <v>65</v>
      </c>
      <c r="DI25" s="124"/>
      <c r="DK25" s="125" t="s">
        <v>65</v>
      </c>
      <c r="DL25" s="125"/>
      <c r="DU25" s="135"/>
      <c r="DV25" s="135" t="s">
        <v>25</v>
      </c>
      <c r="EH25" s="7">
        <v>40</v>
      </c>
      <c r="EI25" s="7" t="s">
        <v>35</v>
      </c>
      <c r="EL25" s="16" t="s">
        <v>47</v>
      </c>
    </row>
    <row r="26" spans="2:144" ht="14.45" customHeight="1" x14ac:dyDescent="0.2">
      <c r="C26" s="240"/>
      <c r="D26" s="221" t="s">
        <v>248</v>
      </c>
      <c r="E26" s="221"/>
      <c r="F26" s="221"/>
      <c r="G26" s="221"/>
      <c r="H26" s="221"/>
      <c r="I26" s="221"/>
      <c r="J26" s="460"/>
      <c r="K26" s="460"/>
      <c r="L26" s="460"/>
      <c r="M26" s="460"/>
      <c r="N26" s="460"/>
      <c r="O26" s="221"/>
      <c r="P26" s="278"/>
      <c r="AH26" s="139"/>
      <c r="AI26" s="140"/>
      <c r="AJ26" s="31"/>
      <c r="AL26" s="31"/>
      <c r="AO26" s="132"/>
      <c r="AP26" s="132"/>
      <c r="AU26" s="36">
        <v>0.01</v>
      </c>
      <c r="AV26" s="34" t="s">
        <v>126</v>
      </c>
      <c r="AX26" s="110">
        <v>0.83</v>
      </c>
      <c r="AY26" s="37" t="s">
        <v>127</v>
      </c>
      <c r="BC26" s="134"/>
      <c r="BD26" s="85"/>
      <c r="BE26" s="36">
        <v>0.01</v>
      </c>
      <c r="BF26" s="34" t="s">
        <v>126</v>
      </c>
      <c r="BH26" s="110">
        <v>0.83</v>
      </c>
      <c r="BI26" s="37" t="s">
        <v>127</v>
      </c>
      <c r="BK26" s="54"/>
      <c r="BL26" s="114"/>
      <c r="BM26" s="114"/>
      <c r="BN26" s="50"/>
      <c r="BO26" s="59">
        <v>1</v>
      </c>
      <c r="BP26" s="34" t="s">
        <v>144</v>
      </c>
      <c r="BR26" s="63">
        <v>18</v>
      </c>
      <c r="BS26" s="37" t="s">
        <v>143</v>
      </c>
      <c r="BU26" s="52"/>
      <c r="CF26" s="126"/>
      <c r="CG26" s="126"/>
      <c r="CM26" s="50"/>
      <c r="CN26" s="59">
        <v>0</v>
      </c>
      <c r="CO26" s="34" t="s">
        <v>144</v>
      </c>
      <c r="CQ26" s="63">
        <v>33</v>
      </c>
      <c r="CR26" s="37" t="s">
        <v>143</v>
      </c>
      <c r="CT26" s="52"/>
      <c r="CU26" s="54"/>
      <c r="CV26" s="114"/>
      <c r="CW26" s="114"/>
      <c r="CX26" s="50"/>
      <c r="CY26" s="59">
        <v>0</v>
      </c>
      <c r="CZ26" s="34" t="s">
        <v>144</v>
      </c>
      <c r="DB26" s="63">
        <v>18</v>
      </c>
      <c r="DC26" s="37" t="s">
        <v>143</v>
      </c>
      <c r="DE26" s="52"/>
      <c r="DH26" s="59">
        <v>0</v>
      </c>
      <c r="DI26" s="34" t="s">
        <v>196</v>
      </c>
      <c r="DK26" s="65">
        <v>0</v>
      </c>
      <c r="DL26" s="37" t="s">
        <v>196</v>
      </c>
      <c r="DT26" s="477" t="s">
        <v>120</v>
      </c>
      <c r="DU26" s="489"/>
      <c r="DV26" s="28" t="str">
        <f>IF(DV11=0,"-",(EL26))</f>
        <v>-</v>
      </c>
      <c r="EL26" s="19" t="e">
        <f>((4.95/EL21)-4.5)*100</f>
        <v>#VALUE!</v>
      </c>
    </row>
    <row r="27" spans="2:144" ht="15" customHeight="1" thickBot="1" x14ac:dyDescent="0.25">
      <c r="C27" s="240"/>
      <c r="D27" s="221" t="s">
        <v>249</v>
      </c>
      <c r="E27" s="221"/>
      <c r="F27" s="221"/>
      <c r="G27" s="221"/>
      <c r="H27" s="221"/>
      <c r="I27" s="221"/>
      <c r="J27" s="460"/>
      <c r="K27" s="460"/>
      <c r="L27" s="460"/>
      <c r="M27" s="460"/>
      <c r="N27" s="460"/>
      <c r="O27" s="221"/>
      <c r="P27" s="278"/>
      <c r="AU27" s="36">
        <v>0.72</v>
      </c>
      <c r="AV27" s="34" t="s">
        <v>127</v>
      </c>
      <c r="AX27" s="110">
        <v>0.89</v>
      </c>
      <c r="AY27" s="37" t="s">
        <v>128</v>
      </c>
      <c r="BC27" s="134"/>
      <c r="BD27" s="85"/>
      <c r="BE27" s="36">
        <v>0.72</v>
      </c>
      <c r="BF27" s="34" t="s">
        <v>127</v>
      </c>
      <c r="BH27" s="110">
        <v>0.89</v>
      </c>
      <c r="BI27" s="37" t="s">
        <v>128</v>
      </c>
      <c r="BK27" s="54"/>
      <c r="BL27" s="114"/>
      <c r="BM27" s="114"/>
      <c r="BN27" s="50"/>
      <c r="BO27" s="59">
        <v>10</v>
      </c>
      <c r="BP27" s="34" t="s">
        <v>143</v>
      </c>
      <c r="BR27" s="63">
        <v>23</v>
      </c>
      <c r="BS27" s="37" t="s">
        <v>142</v>
      </c>
      <c r="BU27" s="52"/>
      <c r="CA27" s="126" t="s">
        <v>199</v>
      </c>
      <c r="CB27" s="126"/>
      <c r="CC27" s="126"/>
      <c r="CF27" t="s">
        <v>200</v>
      </c>
      <c r="CM27" s="50"/>
      <c r="CN27" s="59">
        <v>21</v>
      </c>
      <c r="CO27" s="34" t="s">
        <v>143</v>
      </c>
      <c r="CQ27" s="63">
        <v>38</v>
      </c>
      <c r="CR27" s="37" t="s">
        <v>142</v>
      </c>
      <c r="CT27" s="52"/>
      <c r="CU27" s="54"/>
      <c r="CV27" s="114"/>
      <c r="CW27" s="114"/>
      <c r="CX27" s="50"/>
      <c r="CY27" s="59">
        <v>10</v>
      </c>
      <c r="CZ27" s="34" t="s">
        <v>143</v>
      </c>
      <c r="DB27" s="63">
        <v>23</v>
      </c>
      <c r="DC27" s="37" t="s">
        <v>142</v>
      </c>
      <c r="DE27" s="52"/>
      <c r="DH27" s="59">
        <v>20</v>
      </c>
      <c r="DI27" s="34" t="s">
        <v>144</v>
      </c>
      <c r="DK27" s="65">
        <v>23</v>
      </c>
      <c r="DL27" s="37" t="s">
        <v>144</v>
      </c>
      <c r="DT27" s="477" t="s">
        <v>121</v>
      </c>
      <c r="DU27" s="489"/>
      <c r="DV27" s="9" t="str">
        <f>IF(DV11=0,"-",(DV11-DV28))</f>
        <v>-</v>
      </c>
      <c r="EL27" s="15"/>
    </row>
    <row r="28" spans="2:144" ht="14.45" customHeight="1" x14ac:dyDescent="0.2">
      <c r="C28" s="240"/>
      <c r="D28" s="221" t="s">
        <v>250</v>
      </c>
      <c r="E28" s="221"/>
      <c r="F28" s="221"/>
      <c r="G28" s="221"/>
      <c r="H28" s="221"/>
      <c r="I28" s="221"/>
      <c r="J28" s="460"/>
      <c r="K28" s="460"/>
      <c r="L28" s="460"/>
      <c r="M28" s="460"/>
      <c r="N28" s="460"/>
      <c r="O28" s="221"/>
      <c r="P28" s="278"/>
      <c r="AU28" s="36">
        <v>0.79</v>
      </c>
      <c r="AV28" s="34" t="s">
        <v>128</v>
      </c>
      <c r="AX28" s="110">
        <v>0.95</v>
      </c>
      <c r="AY28" s="37" t="s">
        <v>129</v>
      </c>
      <c r="BC28" s="50"/>
      <c r="BE28" s="36">
        <v>0.01</v>
      </c>
      <c r="BF28" s="34" t="s">
        <v>126</v>
      </c>
      <c r="BH28" s="39">
        <v>0.01</v>
      </c>
      <c r="BI28" s="37" t="s">
        <v>126</v>
      </c>
      <c r="BK28" s="52"/>
      <c r="BN28" s="50"/>
      <c r="BO28" s="59">
        <v>1</v>
      </c>
      <c r="BP28" s="34" t="s">
        <v>144</v>
      </c>
      <c r="BR28" s="65">
        <v>1</v>
      </c>
      <c r="BS28" s="37" t="s">
        <v>144</v>
      </c>
      <c r="BU28" s="52"/>
      <c r="CB28" s="151" t="e">
        <f>'Avaliação Física 5'!D290:E290</f>
        <v>#VALUE!</v>
      </c>
      <c r="CC28" s="152"/>
      <c r="CF28" s="155" t="e">
        <f>((CB28/1000)*60)/12</f>
        <v>#VALUE!</v>
      </c>
      <c r="CG28" s="156"/>
      <c r="CJ28" s="87" t="e">
        <f>CF28</f>
        <v>#VALUE!</v>
      </c>
      <c r="CL28" s="6"/>
      <c r="CM28" s="50"/>
      <c r="CN28" s="59">
        <v>25</v>
      </c>
      <c r="CO28" s="34" t="s">
        <v>142</v>
      </c>
      <c r="CQ28" s="63">
        <v>42</v>
      </c>
      <c r="CR28" s="37" t="s">
        <v>140</v>
      </c>
      <c r="CT28" s="52"/>
      <c r="CU28" s="52"/>
      <c r="CX28" s="50"/>
      <c r="CY28" s="59">
        <v>15</v>
      </c>
      <c r="CZ28" s="34" t="s">
        <v>142</v>
      </c>
      <c r="DB28" s="63">
        <v>29</v>
      </c>
      <c r="DC28" s="37" t="s">
        <v>140</v>
      </c>
      <c r="DE28" s="52"/>
      <c r="DH28" s="59">
        <v>28</v>
      </c>
      <c r="DI28" s="34" t="s">
        <v>143</v>
      </c>
      <c r="DK28" s="70">
        <v>31</v>
      </c>
      <c r="DL28" s="37" t="s">
        <v>143</v>
      </c>
      <c r="DT28" s="477" t="s">
        <v>122</v>
      </c>
      <c r="DU28" s="489"/>
      <c r="DV28" s="9" t="str">
        <f>IF(DV11=0,"-",(DV11-EI28))</f>
        <v>-</v>
      </c>
      <c r="EI28" s="29" t="e">
        <f>DV11*DV26%</f>
        <v>#VALUE!</v>
      </c>
    </row>
    <row r="29" spans="2:144" ht="14.45" customHeight="1" x14ac:dyDescent="0.2">
      <c r="C29" s="240"/>
      <c r="D29" s="221" t="s">
        <v>98</v>
      </c>
      <c r="E29" s="221"/>
      <c r="F29" s="221"/>
      <c r="G29" s="221"/>
      <c r="H29" s="221"/>
      <c r="I29" s="221"/>
      <c r="J29" s="460"/>
      <c r="K29" s="460"/>
      <c r="L29" s="460"/>
      <c r="M29" s="460"/>
      <c r="N29" s="460"/>
      <c r="O29" s="221"/>
      <c r="P29" s="278"/>
      <c r="AU29" s="36">
        <v>0.85</v>
      </c>
      <c r="AV29" s="34" t="s">
        <v>129</v>
      </c>
      <c r="AX29" s="38"/>
      <c r="AY29" s="38"/>
      <c r="BC29" s="50"/>
      <c r="BE29" s="36">
        <v>0.76</v>
      </c>
      <c r="BF29" s="34" t="s">
        <v>127</v>
      </c>
      <c r="BH29" s="41">
        <v>0.9</v>
      </c>
      <c r="BI29" s="37" t="s">
        <v>127</v>
      </c>
      <c r="BK29" s="52"/>
      <c r="BN29" s="50"/>
      <c r="BO29" s="59">
        <v>2</v>
      </c>
      <c r="BP29" s="34" t="s">
        <v>143</v>
      </c>
      <c r="BR29" s="65">
        <v>10</v>
      </c>
      <c r="BS29" s="37" t="s">
        <v>143</v>
      </c>
      <c r="BU29" s="52"/>
      <c r="CJ29" s="88" t="e">
        <f>CB28</f>
        <v>#VALUE!</v>
      </c>
      <c r="CM29" s="50"/>
      <c r="CN29" s="59">
        <v>31</v>
      </c>
      <c r="CO29" s="34" t="s">
        <v>140</v>
      </c>
      <c r="CQ29" s="64">
        <v>48</v>
      </c>
      <c r="CR29" s="38" t="s">
        <v>141</v>
      </c>
      <c r="CT29" s="52"/>
      <c r="CU29" s="52"/>
      <c r="CX29" s="50"/>
      <c r="CY29" s="59">
        <v>21</v>
      </c>
      <c r="CZ29" s="34" t="s">
        <v>140</v>
      </c>
      <c r="DB29" s="64">
        <v>39</v>
      </c>
      <c r="DC29" s="38" t="s">
        <v>141</v>
      </c>
      <c r="DE29" s="52"/>
      <c r="DH29" s="59">
        <v>38</v>
      </c>
      <c r="DI29" s="34" t="s">
        <v>140</v>
      </c>
      <c r="DK29" s="70">
        <v>39</v>
      </c>
      <c r="DL29" s="37" t="s">
        <v>140</v>
      </c>
    </row>
    <row r="30" spans="2:144" ht="14.45" customHeight="1" x14ac:dyDescent="0.2">
      <c r="C30" s="240"/>
      <c r="D30" s="221" t="s">
        <v>251</v>
      </c>
      <c r="E30" s="221"/>
      <c r="F30" s="221"/>
      <c r="G30" s="221"/>
      <c r="H30" s="221"/>
      <c r="I30" s="221"/>
      <c r="J30" s="460"/>
      <c r="K30" s="460"/>
      <c r="L30" s="460"/>
      <c r="M30" s="460"/>
      <c r="N30" s="460"/>
      <c r="O30" s="221"/>
      <c r="P30" s="278"/>
      <c r="AG30" s="141" t="s">
        <v>151</v>
      </c>
      <c r="AH30" s="141"/>
      <c r="AI30" s="141"/>
      <c r="AJ30" s="83">
        <f>'Avaliação Física 5'!G94</f>
        <v>0</v>
      </c>
      <c r="AO30" s="142" t="e">
        <f>IF(AND(BF49&gt;BF47,BF47&gt;BF48),"ECTOMORFO-ENDOMORFO","")</f>
        <v>#DIV/0!</v>
      </c>
      <c r="AP30" s="142"/>
      <c r="AQ30" s="142"/>
      <c r="AR30" s="142"/>
      <c r="AU30" s="35"/>
      <c r="AV30" s="35"/>
      <c r="AX30" s="38"/>
      <c r="AY30" s="38"/>
      <c r="BC30" s="50"/>
      <c r="BE30" s="36">
        <v>0.84</v>
      </c>
      <c r="BF30" s="34" t="s">
        <v>128</v>
      </c>
      <c r="BH30" s="39">
        <v>0.97</v>
      </c>
      <c r="BI30" s="37" t="s">
        <v>128</v>
      </c>
      <c r="BK30" s="52"/>
      <c r="BN30" s="50"/>
      <c r="BO30" s="59">
        <v>7</v>
      </c>
      <c r="BP30" s="34" t="s">
        <v>142</v>
      </c>
      <c r="BR30" s="65">
        <v>13</v>
      </c>
      <c r="BS30" s="37" t="s">
        <v>142</v>
      </c>
      <c r="BU30" s="52"/>
      <c r="CA30" s="126" t="s">
        <v>198</v>
      </c>
      <c r="CB30" s="126"/>
      <c r="CC30" s="126"/>
      <c r="CD30" s="126"/>
      <c r="CF30" s="126" t="s">
        <v>150</v>
      </c>
      <c r="CG30" s="126"/>
      <c r="CJ30" s="89">
        <f>CB31</f>
        <v>-11.2</v>
      </c>
      <c r="CM30" s="50"/>
      <c r="CN30" s="60">
        <v>36</v>
      </c>
      <c r="CO30" s="35" t="s">
        <v>141</v>
      </c>
      <c r="CQ30" s="38"/>
      <c r="CR30" s="38"/>
      <c r="CT30" s="52"/>
      <c r="CU30" s="52"/>
      <c r="CX30" s="50"/>
      <c r="CY30" s="60">
        <v>30</v>
      </c>
      <c r="CZ30" s="35" t="s">
        <v>141</v>
      </c>
      <c r="DB30" s="38"/>
      <c r="DC30" s="38"/>
      <c r="DE30" s="52"/>
      <c r="DH30" s="60">
        <v>45</v>
      </c>
      <c r="DI30" s="35" t="s">
        <v>141</v>
      </c>
      <c r="DK30" s="64">
        <v>49</v>
      </c>
      <c r="DL30" s="38" t="s">
        <v>141</v>
      </c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</row>
    <row r="31" spans="2:144" ht="14.45" customHeight="1" x14ac:dyDescent="0.2">
      <c r="C31" s="240"/>
      <c r="D31" s="221" t="s">
        <v>99</v>
      </c>
      <c r="E31" s="221"/>
      <c r="F31" s="221"/>
      <c r="G31" s="221"/>
      <c r="H31" s="221"/>
      <c r="I31" s="221"/>
      <c r="J31" s="460"/>
      <c r="K31" s="460"/>
      <c r="L31" s="460"/>
      <c r="M31" s="460"/>
      <c r="N31" s="460"/>
      <c r="O31" s="221"/>
      <c r="P31" s="278"/>
      <c r="AH31" s="141" t="s">
        <v>152</v>
      </c>
      <c r="AI31" s="141"/>
      <c r="AJ31" s="31">
        <f>'Avaliação Física 5'!K94</f>
        <v>0</v>
      </c>
      <c r="AO31" s="142" t="e">
        <f>IF(AND(BF47&gt;BF49,BF49&gt;BF48),"ENDOMORFO-ECTOMORFO","")</f>
        <v>#DIV/0!</v>
      </c>
      <c r="AP31" s="142"/>
      <c r="AQ31" s="142"/>
      <c r="AR31" s="142"/>
      <c r="AU31" s="124" t="s">
        <v>130</v>
      </c>
      <c r="AV31" s="124"/>
      <c r="AX31" s="125" t="s">
        <v>65</v>
      </c>
      <c r="AY31" s="125"/>
      <c r="BC31" s="50"/>
      <c r="BE31" s="36">
        <v>0.91</v>
      </c>
      <c r="BF31" s="34" t="s">
        <v>129</v>
      </c>
      <c r="BH31" s="39">
        <v>1.03</v>
      </c>
      <c r="BI31" s="37" t="s">
        <v>129</v>
      </c>
      <c r="BK31" s="52"/>
      <c r="BN31" s="50"/>
      <c r="BO31" s="59">
        <v>11</v>
      </c>
      <c r="BP31" s="34" t="s">
        <v>140</v>
      </c>
      <c r="BR31" s="65">
        <v>17</v>
      </c>
      <c r="BS31" s="37" t="s">
        <v>140</v>
      </c>
      <c r="BU31" s="52"/>
      <c r="CB31" s="157">
        <f>('Avaliação Física 5'!D290-504)/45</f>
        <v>-11.2</v>
      </c>
      <c r="CC31" s="158"/>
      <c r="CD31" s="159"/>
      <c r="CF31" s="153" t="e">
        <f>IF(CB28="","-",DN12)</f>
        <v>#VALUE!</v>
      </c>
      <c r="CG31" s="154"/>
      <c r="CJ31" s="90" t="e">
        <f>CF31</f>
        <v>#VALUE!</v>
      </c>
      <c r="CM31" s="50"/>
      <c r="CN31" s="146" t="s">
        <v>146</v>
      </c>
      <c r="CO31" s="147"/>
      <c r="CQ31" s="125" t="s">
        <v>64</v>
      </c>
      <c r="CR31" s="125"/>
      <c r="CT31" s="52"/>
      <c r="CU31" s="52"/>
      <c r="CX31" s="50"/>
      <c r="CY31" s="146" t="s">
        <v>146</v>
      </c>
      <c r="CZ31" s="147"/>
      <c r="DB31" s="125" t="s">
        <v>64</v>
      </c>
      <c r="DC31" s="125"/>
      <c r="DE31" s="52"/>
      <c r="DH31" s="146" t="s">
        <v>194</v>
      </c>
      <c r="DI31" s="147"/>
      <c r="DK31" s="149" t="s">
        <v>194</v>
      </c>
      <c r="DL31" s="150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I31" s="426" t="s">
        <v>118</v>
      </c>
      <c r="EJ31" s="426"/>
      <c r="EK31" s="8">
        <f>DV11</f>
        <v>0</v>
      </c>
    </row>
    <row r="32" spans="2:144" ht="14.45" customHeight="1" x14ac:dyDescent="0.2">
      <c r="C32" s="240"/>
      <c r="D32" s="221" t="s">
        <v>100</v>
      </c>
      <c r="E32" s="221"/>
      <c r="F32" s="221"/>
      <c r="G32" s="221"/>
      <c r="H32" s="221"/>
      <c r="I32" s="221"/>
      <c r="J32" s="460"/>
      <c r="K32" s="460"/>
      <c r="L32" s="460"/>
      <c r="M32" s="460"/>
      <c r="N32" s="460"/>
      <c r="O32" s="221"/>
      <c r="P32" s="278"/>
      <c r="AH32" s="141" t="s">
        <v>153</v>
      </c>
      <c r="AI32" s="141"/>
      <c r="AJ32" s="84">
        <f>'Avaliação Física 5'!G95</f>
        <v>0</v>
      </c>
      <c r="AN32" s="314" t="s">
        <v>188</v>
      </c>
      <c r="AO32" s="142" t="e">
        <f>IF(AND(BF47=BF48,BF49&gt;BF48),"ECTOMORFO","")</f>
        <v>#DIV/0!</v>
      </c>
      <c r="AP32" s="142"/>
      <c r="AQ32" s="142"/>
      <c r="AR32" s="142"/>
      <c r="AU32" s="36">
        <v>0.01</v>
      </c>
      <c r="AV32" s="34" t="s">
        <v>126</v>
      </c>
      <c r="AX32" s="39">
        <v>0.01</v>
      </c>
      <c r="AY32" s="37" t="s">
        <v>126</v>
      </c>
      <c r="BC32" s="50"/>
      <c r="BH32" s="38"/>
      <c r="BI32" s="38"/>
      <c r="BK32" s="52"/>
      <c r="BN32" s="50"/>
      <c r="BO32" s="60">
        <v>21</v>
      </c>
      <c r="BP32" s="35" t="s">
        <v>141</v>
      </c>
      <c r="BR32" s="64">
        <v>22</v>
      </c>
      <c r="BS32" s="38" t="s">
        <v>141</v>
      </c>
      <c r="BU32" s="52"/>
      <c r="CM32" s="50"/>
      <c r="CN32" s="59">
        <v>0</v>
      </c>
      <c r="CO32" s="34" t="s">
        <v>144</v>
      </c>
      <c r="CQ32" s="65">
        <v>0</v>
      </c>
      <c r="CR32" s="37" t="s">
        <v>144</v>
      </c>
      <c r="CT32" s="52"/>
      <c r="CU32" s="52"/>
      <c r="CX32" s="50"/>
      <c r="CY32" s="59">
        <v>0</v>
      </c>
      <c r="CZ32" s="34" t="s">
        <v>144</v>
      </c>
      <c r="DB32" s="65">
        <v>0</v>
      </c>
      <c r="DC32" s="37" t="s">
        <v>144</v>
      </c>
      <c r="DE32" s="52"/>
      <c r="DH32" s="59">
        <v>0</v>
      </c>
      <c r="DI32" s="34" t="s">
        <v>196</v>
      </c>
      <c r="DK32" s="65">
        <v>0</v>
      </c>
      <c r="DL32" s="37" t="s">
        <v>196</v>
      </c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I32" s="426" t="s">
        <v>122</v>
      </c>
      <c r="EJ32" s="483"/>
      <c r="EK32" s="9" t="str">
        <f>DV28</f>
        <v>-</v>
      </c>
    </row>
    <row r="33" spans="3:141" ht="14.45" customHeight="1" x14ac:dyDescent="0.2">
      <c r="C33" s="240"/>
      <c r="D33" s="221" t="s">
        <v>101</v>
      </c>
      <c r="E33" s="221"/>
      <c r="F33" s="221"/>
      <c r="G33" s="221"/>
      <c r="H33" s="221"/>
      <c r="I33" s="221"/>
      <c r="J33" s="460"/>
      <c r="K33" s="460"/>
      <c r="L33" s="460"/>
      <c r="M33" s="460"/>
      <c r="N33" s="460"/>
      <c r="O33" s="221"/>
      <c r="P33" s="278"/>
      <c r="AO33" s="142" t="e">
        <f>IF(AND(BF48&gt;BF49,BF49&gt;BF47),"MESOMORFO-ECTOMÓRFICO","")</f>
        <v>#DIV/0!</v>
      </c>
      <c r="AP33" s="142"/>
      <c r="AQ33" s="142"/>
      <c r="AR33" s="142"/>
      <c r="AU33" s="36">
        <v>0.73</v>
      </c>
      <c r="AV33" s="34" t="s">
        <v>127</v>
      </c>
      <c r="AX33" s="39">
        <v>0.84</v>
      </c>
      <c r="AY33" s="37" t="s">
        <v>127</v>
      </c>
      <c r="BC33" s="50"/>
      <c r="BH33" s="125" t="s">
        <v>66</v>
      </c>
      <c r="BI33" s="125"/>
      <c r="BK33" s="52"/>
      <c r="BN33" s="50"/>
      <c r="BR33" s="125" t="s">
        <v>131</v>
      </c>
      <c r="BS33" s="125"/>
      <c r="BU33" s="52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M33" s="50"/>
      <c r="CN33" s="59">
        <v>15</v>
      </c>
      <c r="CO33" s="34" t="s">
        <v>143</v>
      </c>
      <c r="CQ33" s="65">
        <v>29</v>
      </c>
      <c r="CR33" s="37" t="s">
        <v>143</v>
      </c>
      <c r="CT33" s="52"/>
      <c r="CU33" s="52"/>
      <c r="CX33" s="50"/>
      <c r="CY33" s="59">
        <v>8</v>
      </c>
      <c r="CZ33" s="34" t="s">
        <v>143</v>
      </c>
      <c r="DB33" s="65">
        <v>17</v>
      </c>
      <c r="DC33" s="37" t="s">
        <v>143</v>
      </c>
      <c r="DE33" s="52"/>
      <c r="DH33" s="59">
        <v>17</v>
      </c>
      <c r="DI33" s="34" t="s">
        <v>144</v>
      </c>
      <c r="DK33" s="65">
        <v>20</v>
      </c>
      <c r="DL33" s="37" t="s">
        <v>144</v>
      </c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I33" s="310"/>
      <c r="EJ33" s="315"/>
      <c r="EK33" s="9"/>
    </row>
    <row r="34" spans="3:141" ht="14.45" customHeight="1" x14ac:dyDescent="0.2">
      <c r="C34" s="240"/>
      <c r="D34" s="221" t="s">
        <v>102</v>
      </c>
      <c r="E34" s="221"/>
      <c r="F34" s="221"/>
      <c r="G34" s="221"/>
      <c r="H34" s="221"/>
      <c r="I34" s="221"/>
      <c r="J34" s="460"/>
      <c r="K34" s="460"/>
      <c r="L34" s="460"/>
      <c r="M34" s="460"/>
      <c r="N34" s="460"/>
      <c r="O34" s="221"/>
      <c r="P34" s="278"/>
      <c r="Y34" s="163" t="s">
        <v>267</v>
      </c>
      <c r="Z34" s="3"/>
      <c r="AA34" s="3"/>
      <c r="AB34" s="164"/>
      <c r="AO34" s="142" t="e">
        <f>IF(AND(BF49&gt;BF48,BF48&gt;BF47),"ECTOMORFO-MESOMORFO","")</f>
        <v>#DIV/0!</v>
      </c>
      <c r="AP34" s="142"/>
      <c r="AQ34" s="142"/>
      <c r="AR34" s="142"/>
      <c r="AU34" s="36">
        <v>0.8</v>
      </c>
      <c r="AV34" s="34" t="s">
        <v>128</v>
      </c>
      <c r="AX34" s="39">
        <v>0.92</v>
      </c>
      <c r="AY34" s="37" t="s">
        <v>128</v>
      </c>
      <c r="BC34" s="50"/>
      <c r="BH34" s="41">
        <v>0.01</v>
      </c>
      <c r="BI34" s="37" t="s">
        <v>126</v>
      </c>
      <c r="BK34" s="52"/>
      <c r="BN34" s="50"/>
      <c r="BO34" s="124" t="s">
        <v>66</v>
      </c>
      <c r="BP34" s="124"/>
      <c r="BR34" s="65">
        <v>1</v>
      </c>
      <c r="BS34" s="37" t="s">
        <v>144</v>
      </c>
      <c r="BU34" s="52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M34" s="50"/>
      <c r="CN34" s="69">
        <v>20</v>
      </c>
      <c r="CO34" s="35" t="s">
        <v>142</v>
      </c>
      <c r="CQ34" s="70">
        <v>33</v>
      </c>
      <c r="CR34" s="38" t="s">
        <v>142</v>
      </c>
      <c r="CT34" s="52"/>
      <c r="CU34" s="52"/>
      <c r="CX34" s="50"/>
      <c r="CY34" s="69">
        <v>13</v>
      </c>
      <c r="CZ34" s="35" t="s">
        <v>142</v>
      </c>
      <c r="DB34" s="70">
        <v>22</v>
      </c>
      <c r="DC34" s="38" t="s">
        <v>142</v>
      </c>
      <c r="DE34" s="52"/>
      <c r="DH34" s="69">
        <v>24</v>
      </c>
      <c r="DI34" s="34" t="s">
        <v>143</v>
      </c>
      <c r="DK34" s="65">
        <v>27</v>
      </c>
      <c r="DL34" s="37" t="s">
        <v>143</v>
      </c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I34" s="310"/>
      <c r="EJ34" s="315"/>
      <c r="EK34" s="9"/>
    </row>
    <row r="35" spans="3:141" ht="14.45" customHeight="1" x14ac:dyDescent="0.2">
      <c r="C35" s="240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78"/>
      <c r="Y35" s="2">
        <f>F78+J79+N77</f>
        <v>0</v>
      </c>
      <c r="Z35" s="106"/>
      <c r="AA35" s="106"/>
      <c r="AB35" s="165"/>
      <c r="AO35" s="142" t="e">
        <f>IF(AND(BF48&gt;BF47,BF48=BF49),"MESOECTOMORFO","")</f>
        <v>#DIV/0!</v>
      </c>
      <c r="AP35" s="142"/>
      <c r="AQ35" s="142"/>
      <c r="AR35" s="142"/>
      <c r="AU35" s="36">
        <v>0.88</v>
      </c>
      <c r="AV35" s="34" t="s">
        <v>129</v>
      </c>
      <c r="AX35" s="39">
        <v>0.96</v>
      </c>
      <c r="AY35" s="37" t="s">
        <v>129</v>
      </c>
      <c r="BC35" s="50"/>
      <c r="BH35" s="41"/>
      <c r="BI35" s="37"/>
      <c r="BK35" s="52"/>
      <c r="BN35" s="50"/>
      <c r="BO35" s="66"/>
      <c r="BP35" s="112"/>
      <c r="BR35" s="65"/>
      <c r="BS35" s="37"/>
      <c r="BU35" s="52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M35" s="50"/>
      <c r="CN35" s="69">
        <v>24</v>
      </c>
      <c r="CO35" s="35" t="s">
        <v>140</v>
      </c>
      <c r="CQ35" s="70">
        <v>37</v>
      </c>
      <c r="CR35" s="38" t="s">
        <v>140</v>
      </c>
      <c r="CT35" s="52"/>
      <c r="CU35" s="52"/>
      <c r="CX35" s="50"/>
      <c r="CY35" s="69">
        <v>20</v>
      </c>
      <c r="CZ35" s="35" t="s">
        <v>140</v>
      </c>
      <c r="DB35" s="70">
        <v>19</v>
      </c>
      <c r="DC35" s="38" t="s">
        <v>140</v>
      </c>
      <c r="DE35" s="52"/>
      <c r="DH35" s="69">
        <v>31</v>
      </c>
      <c r="DI35" s="34" t="s">
        <v>140</v>
      </c>
      <c r="DK35" s="65">
        <v>36</v>
      </c>
      <c r="DL35" s="37" t="s">
        <v>140</v>
      </c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I35" s="310"/>
      <c r="EJ35" s="315"/>
      <c r="EK35" s="9"/>
    </row>
    <row r="36" spans="3:141" ht="14.45" customHeight="1" x14ac:dyDescent="0.2">
      <c r="C36" s="240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78"/>
      <c r="Y36" s="2"/>
      <c r="Z36" s="106"/>
      <c r="AA36" s="106"/>
      <c r="AB36" s="165"/>
      <c r="AO36" s="142" t="e">
        <f>IF(AND(BF48&gt;BF47,BF47&gt;BF49),"MESOMORFO-ENDOMÓRFICO","")</f>
        <v>#DIV/0!</v>
      </c>
      <c r="AP36" s="142"/>
      <c r="AQ36" s="142"/>
      <c r="AR36" s="142"/>
      <c r="AU36" s="35"/>
      <c r="AV36" s="35"/>
      <c r="AX36" s="38"/>
      <c r="AY36" s="38"/>
      <c r="BC36" s="50"/>
      <c r="BH36" s="41"/>
      <c r="BI36" s="37"/>
      <c r="BK36" s="52"/>
      <c r="BN36" s="50"/>
      <c r="BO36" s="66"/>
      <c r="BP36" s="112"/>
      <c r="BR36" s="65"/>
      <c r="BS36" s="37"/>
      <c r="BU36" s="52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M36" s="50"/>
      <c r="CN36" s="60">
        <v>29</v>
      </c>
      <c r="CO36" s="35" t="s">
        <v>141</v>
      </c>
      <c r="CQ36" s="64">
        <v>43</v>
      </c>
      <c r="CR36" s="38" t="s">
        <v>141</v>
      </c>
      <c r="CT36" s="52"/>
      <c r="CU36" s="52"/>
      <c r="CX36" s="50"/>
      <c r="CY36" s="60">
        <v>27</v>
      </c>
      <c r="CZ36" s="35" t="s">
        <v>141</v>
      </c>
      <c r="DB36" s="64">
        <v>36</v>
      </c>
      <c r="DC36" s="38" t="s">
        <v>141</v>
      </c>
      <c r="DE36" s="52"/>
      <c r="DH36" s="60">
        <v>42</v>
      </c>
      <c r="DI36" s="35" t="s">
        <v>141</v>
      </c>
      <c r="DK36" s="64">
        <v>45</v>
      </c>
      <c r="DL36" s="38" t="s">
        <v>141</v>
      </c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I36" s="426" t="s">
        <v>121</v>
      </c>
      <c r="EJ36" s="483"/>
      <c r="EK36" s="9" t="str">
        <f>DV27</f>
        <v>-</v>
      </c>
    </row>
    <row r="37" spans="3:141" ht="15" x14ac:dyDescent="0.2">
      <c r="C37" s="240"/>
      <c r="D37" s="221" t="s">
        <v>245</v>
      </c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78"/>
      <c r="Y37" s="2" t="s">
        <v>268</v>
      </c>
      <c r="Z37" s="106"/>
      <c r="AA37" s="106"/>
      <c r="AB37" s="165"/>
      <c r="AN37" s="314" t="s">
        <v>189</v>
      </c>
      <c r="AO37" s="142" t="e">
        <f>IF(AND(BF48&gt;BF47,BF47=BF49),"MESOMORFO","")</f>
        <v>#DIV/0!</v>
      </c>
      <c r="AP37" s="142"/>
      <c r="AQ37" s="142"/>
      <c r="AR37" s="142"/>
      <c r="AU37" s="124" t="s">
        <v>131</v>
      </c>
      <c r="AV37" s="124"/>
      <c r="AX37" s="125" t="s">
        <v>130</v>
      </c>
      <c r="AY37" s="125"/>
      <c r="BC37" s="50"/>
      <c r="BH37" s="41"/>
      <c r="BI37" s="37"/>
      <c r="BK37" s="52"/>
      <c r="BN37" s="50"/>
      <c r="BO37" s="66"/>
      <c r="BP37" s="112"/>
      <c r="BR37" s="65"/>
      <c r="BS37" s="37"/>
      <c r="BU37" s="52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M37" s="50"/>
      <c r="CN37" s="124" t="s">
        <v>130</v>
      </c>
      <c r="CO37" s="124"/>
      <c r="CQ37" s="125" t="s">
        <v>65</v>
      </c>
      <c r="CR37" s="125"/>
      <c r="CT37" s="52"/>
      <c r="CU37" s="52"/>
      <c r="CX37" s="50"/>
      <c r="CY37" s="124" t="s">
        <v>130</v>
      </c>
      <c r="CZ37" s="124"/>
      <c r="DB37" s="125" t="s">
        <v>65</v>
      </c>
      <c r="DC37" s="125"/>
      <c r="DE37" s="52"/>
      <c r="DH37" s="124" t="s">
        <v>131</v>
      </c>
      <c r="DI37" s="124"/>
      <c r="DK37" s="125" t="s">
        <v>131</v>
      </c>
      <c r="DL37" s="125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I37" s="310"/>
      <c r="EJ37" s="315"/>
      <c r="EK37" s="9"/>
    </row>
    <row r="38" spans="3:141" ht="15" x14ac:dyDescent="0.2">
      <c r="C38" s="240"/>
      <c r="D38" s="377" t="s">
        <v>255</v>
      </c>
      <c r="E38" s="377"/>
      <c r="F38" s="460"/>
      <c r="G38" s="460"/>
      <c r="H38" s="460"/>
      <c r="I38" s="460"/>
      <c r="J38" s="460"/>
      <c r="K38" s="460"/>
      <c r="L38" s="460"/>
      <c r="M38" s="460"/>
      <c r="N38" s="460"/>
      <c r="O38" s="221"/>
      <c r="P38" s="278"/>
      <c r="Y38" s="166">
        <f>N78+J79+F77</f>
        <v>0</v>
      </c>
      <c r="Z38" s="1"/>
      <c r="AA38" s="1"/>
      <c r="AB38" s="168"/>
      <c r="AO38" s="142" t="e">
        <f>IF(AND(BF47=BF48,BF48&gt;BF49),"MESOENDOMORFO","")</f>
        <v>#DIV/0!</v>
      </c>
      <c r="AP38" s="142"/>
      <c r="AQ38" s="142"/>
      <c r="AR38" s="142"/>
      <c r="AU38" s="36">
        <v>0.01</v>
      </c>
      <c r="AV38" s="34" t="s">
        <v>126</v>
      </c>
      <c r="AX38" s="39">
        <v>0.01</v>
      </c>
      <c r="AY38" s="37" t="s">
        <v>126</v>
      </c>
      <c r="BC38" s="50"/>
      <c r="BH38" s="39">
        <v>0.91</v>
      </c>
      <c r="BI38" s="37" t="s">
        <v>127</v>
      </c>
      <c r="BK38" s="52"/>
      <c r="BN38" s="50"/>
      <c r="BO38" s="60">
        <v>1</v>
      </c>
      <c r="BP38" s="34" t="s">
        <v>144</v>
      </c>
      <c r="BR38" s="65">
        <v>7</v>
      </c>
      <c r="BS38" s="37" t="s">
        <v>143</v>
      </c>
      <c r="BU38" s="52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M38" s="50"/>
      <c r="CN38" s="59">
        <v>0</v>
      </c>
      <c r="CO38" s="34" t="s">
        <v>144</v>
      </c>
      <c r="CQ38" s="65">
        <v>0</v>
      </c>
      <c r="CR38" s="37" t="s">
        <v>144</v>
      </c>
      <c r="CT38" s="52"/>
      <c r="CU38" s="52"/>
      <c r="CX38" s="50"/>
      <c r="CY38" s="59">
        <v>0</v>
      </c>
      <c r="CZ38" s="34" t="s">
        <v>144</v>
      </c>
      <c r="DB38" s="65">
        <v>0</v>
      </c>
      <c r="DC38" s="37" t="s">
        <v>144</v>
      </c>
      <c r="DE38" s="52"/>
      <c r="DH38" s="59">
        <v>0</v>
      </c>
      <c r="DI38" s="34" t="s">
        <v>196</v>
      </c>
      <c r="DK38" s="65">
        <v>0</v>
      </c>
      <c r="DL38" s="37" t="s">
        <v>196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I38" s="310"/>
      <c r="EJ38" s="315"/>
      <c r="EK38" s="9"/>
    </row>
    <row r="39" spans="3:141" ht="15" x14ac:dyDescent="0.2">
      <c r="C39" s="240"/>
      <c r="D39" s="377" t="s">
        <v>13</v>
      </c>
      <c r="E39" s="377"/>
      <c r="F39" s="460"/>
      <c r="G39" s="460"/>
      <c r="H39" s="460"/>
      <c r="I39" s="460"/>
      <c r="J39" s="460"/>
      <c r="K39" s="460"/>
      <c r="L39" s="460"/>
      <c r="M39" s="460"/>
      <c r="N39" s="460"/>
      <c r="O39" s="221"/>
      <c r="P39" s="278"/>
      <c r="Y39" s="106"/>
      <c r="Z39" s="106"/>
      <c r="AA39" s="106"/>
      <c r="AB39" s="106"/>
      <c r="AO39" s="143" t="e">
        <f>IF(AND(BF47&gt;BF48,BF48&gt;BF49),"ENDOMORFO-MESOMORFO","")</f>
        <v>#DIV/0!</v>
      </c>
      <c r="AP39" s="143"/>
      <c r="AQ39" s="143"/>
      <c r="AR39" s="143"/>
      <c r="AU39" s="36">
        <v>0.74</v>
      </c>
      <c r="AV39" s="34" t="s">
        <v>127</v>
      </c>
      <c r="AX39" s="39">
        <v>0.88</v>
      </c>
      <c r="AY39" s="37" t="s">
        <v>127</v>
      </c>
      <c r="BC39" s="50"/>
      <c r="BH39" s="39">
        <v>0.99</v>
      </c>
      <c r="BI39" s="37" t="s">
        <v>128</v>
      </c>
      <c r="BK39" s="52"/>
      <c r="BN39" s="50"/>
      <c r="BO39" s="60">
        <v>1</v>
      </c>
      <c r="BP39" s="34" t="s">
        <v>143</v>
      </c>
      <c r="BR39" s="65">
        <v>10</v>
      </c>
      <c r="BS39" s="37" t="s">
        <v>142</v>
      </c>
      <c r="BU39" s="52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M39" s="50"/>
      <c r="CN39" s="59">
        <v>7</v>
      </c>
      <c r="CO39" s="34" t="s">
        <v>143</v>
      </c>
      <c r="CQ39" s="65">
        <v>22</v>
      </c>
      <c r="CR39" s="37" t="s">
        <v>143</v>
      </c>
      <c r="CT39" s="52"/>
      <c r="CU39" s="52"/>
      <c r="CX39" s="50"/>
      <c r="CY39" s="59">
        <v>5</v>
      </c>
      <c r="CZ39" s="34" t="s">
        <v>143</v>
      </c>
      <c r="DB39" s="65">
        <v>12</v>
      </c>
      <c r="DC39" s="37" t="s">
        <v>143</v>
      </c>
      <c r="DE39" s="52"/>
      <c r="DH39" s="59">
        <v>15</v>
      </c>
      <c r="DI39" s="34" t="s">
        <v>144</v>
      </c>
      <c r="DK39" s="65">
        <v>18</v>
      </c>
      <c r="DL39" s="37" t="s">
        <v>144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I39" s="310"/>
      <c r="EJ39" s="315"/>
      <c r="EK39" s="9"/>
    </row>
    <row r="40" spans="3:141" ht="15" x14ac:dyDescent="0.2">
      <c r="C40" s="240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78"/>
      <c r="Y40" s="172" t="s">
        <v>270</v>
      </c>
      <c r="Z40" s="169"/>
      <c r="AA40" s="171"/>
      <c r="AB40" s="106"/>
      <c r="AO40" s="142" t="e">
        <f>IF(AND(BF47=BF49,BF47&gt;BF48),"ENDOECTOMORFO","")</f>
        <v>#DIV/0!</v>
      </c>
      <c r="AP40" s="142"/>
      <c r="AQ40" s="142"/>
      <c r="AR40" s="142"/>
      <c r="AU40" s="36">
        <v>0.82</v>
      </c>
      <c r="AV40" s="34" t="s">
        <v>128</v>
      </c>
      <c r="AX40" s="39">
        <v>0.96</v>
      </c>
      <c r="AY40" s="37" t="s">
        <v>128</v>
      </c>
      <c r="BC40" s="50"/>
      <c r="BH40" s="39">
        <v>1.04</v>
      </c>
      <c r="BI40" s="37" t="s">
        <v>129</v>
      </c>
      <c r="BK40" s="52"/>
      <c r="BN40" s="50"/>
      <c r="BO40" s="60">
        <v>5</v>
      </c>
      <c r="BP40" s="34" t="s">
        <v>142</v>
      </c>
      <c r="BR40" s="65">
        <v>13</v>
      </c>
      <c r="BS40" s="37" t="s">
        <v>140</v>
      </c>
      <c r="BU40" s="52"/>
      <c r="BY40" s="4"/>
      <c r="BZ40" s="148"/>
      <c r="CA40" s="148"/>
      <c r="CB40" s="68"/>
      <c r="CC40" s="68"/>
      <c r="CD40" s="115"/>
      <c r="CE40" s="115"/>
      <c r="CF40" s="115"/>
      <c r="CG40" s="115"/>
      <c r="CH40" s="115"/>
      <c r="CI40" s="115"/>
      <c r="CJ40" s="115"/>
      <c r="CK40" s="4"/>
      <c r="CM40" s="50"/>
      <c r="CN40" s="59">
        <v>15</v>
      </c>
      <c r="CO40" s="34" t="s">
        <v>142</v>
      </c>
      <c r="CQ40" s="65">
        <v>27</v>
      </c>
      <c r="CR40" s="37" t="s">
        <v>142</v>
      </c>
      <c r="CT40" s="52"/>
      <c r="CU40" s="52"/>
      <c r="CX40" s="50"/>
      <c r="CY40" s="59">
        <v>11</v>
      </c>
      <c r="CZ40" s="34" t="s">
        <v>142</v>
      </c>
      <c r="DB40" s="65">
        <v>17</v>
      </c>
      <c r="DC40" s="37" t="s">
        <v>142</v>
      </c>
      <c r="DE40" s="52"/>
      <c r="DH40" s="59">
        <v>21</v>
      </c>
      <c r="DI40" s="34" t="s">
        <v>143</v>
      </c>
      <c r="DK40" s="65">
        <v>25</v>
      </c>
      <c r="DL40" s="37" t="s">
        <v>143</v>
      </c>
      <c r="EI40" s="426" t="s">
        <v>120</v>
      </c>
      <c r="EJ40" s="483"/>
      <c r="EK40" s="28" t="str">
        <f>DV26</f>
        <v>-</v>
      </c>
    </row>
    <row r="41" spans="3:141" ht="15" x14ac:dyDescent="0.2">
      <c r="C41" s="240"/>
      <c r="D41" s="221" t="s">
        <v>246</v>
      </c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78"/>
      <c r="Y41" s="2" t="e">
        <f>IF(EJ4=0,SUM(1.1665-((LOG10(Y38))*0.07063)),SUM(1.17136-((LOG10(Y35))*0.06706)))</f>
        <v>#NUM!</v>
      </c>
      <c r="Z41" s="106"/>
      <c r="AA41" s="165"/>
      <c r="AN41" s="314" t="s">
        <v>190</v>
      </c>
      <c r="AO41" s="142" t="e">
        <f>IF(AND(BF47&gt;BF48,BF48=BF49),"ENDOMORFO","")</f>
        <v>#DIV/0!</v>
      </c>
      <c r="AP41" s="142"/>
      <c r="AQ41" s="142"/>
      <c r="AR41" s="142"/>
      <c r="AU41" s="36">
        <v>0.89</v>
      </c>
      <c r="AV41" s="34" t="s">
        <v>129</v>
      </c>
      <c r="AX41" s="41">
        <v>1.01</v>
      </c>
      <c r="AY41" s="37" t="s">
        <v>129</v>
      </c>
      <c r="BC41" s="50"/>
      <c r="BK41" s="52"/>
      <c r="BN41" s="50"/>
      <c r="BO41" s="60">
        <v>12</v>
      </c>
      <c r="BP41" s="34" t="s">
        <v>140</v>
      </c>
      <c r="BR41" s="64">
        <v>21</v>
      </c>
      <c r="BS41" s="38" t="s">
        <v>141</v>
      </c>
      <c r="BU41" s="52"/>
      <c r="BY41" s="4"/>
      <c r="BZ41" s="148"/>
      <c r="CA41" s="148"/>
      <c r="CB41" s="68"/>
      <c r="CC41" s="4"/>
      <c r="CD41" s="115"/>
      <c r="CE41" s="115"/>
      <c r="CF41" s="115"/>
      <c r="CG41" s="115"/>
      <c r="CH41" s="115"/>
      <c r="CI41" s="115"/>
      <c r="CJ41" s="115"/>
      <c r="CK41" s="4"/>
      <c r="CM41" s="50"/>
      <c r="CN41" s="59">
        <v>20</v>
      </c>
      <c r="CO41" s="34" t="s">
        <v>140</v>
      </c>
      <c r="CQ41" s="65">
        <v>31</v>
      </c>
      <c r="CR41" s="37" t="s">
        <v>140</v>
      </c>
      <c r="CT41" s="52"/>
      <c r="CU41" s="52"/>
      <c r="CX41" s="50"/>
      <c r="CY41" s="59">
        <v>15</v>
      </c>
      <c r="CZ41" s="34" t="s">
        <v>140</v>
      </c>
      <c r="DB41" s="65">
        <v>22</v>
      </c>
      <c r="DC41" s="37" t="s">
        <v>140</v>
      </c>
      <c r="DE41" s="52"/>
      <c r="DH41" s="59">
        <v>28</v>
      </c>
      <c r="DI41" s="34" t="s">
        <v>140</v>
      </c>
      <c r="DK41" s="65">
        <v>34</v>
      </c>
      <c r="DL41" s="37" t="s">
        <v>140</v>
      </c>
    </row>
    <row r="42" spans="3:141" ht="15" x14ac:dyDescent="0.2">
      <c r="C42" s="240"/>
      <c r="D42" s="377" t="s">
        <v>255</v>
      </c>
      <c r="E42" s="377"/>
      <c r="F42" s="460"/>
      <c r="G42" s="460"/>
      <c r="H42" s="460"/>
      <c r="I42" s="460"/>
      <c r="J42" s="460"/>
      <c r="K42" s="460"/>
      <c r="L42" s="460"/>
      <c r="M42" s="460"/>
      <c r="N42" s="460"/>
      <c r="O42" s="221"/>
      <c r="P42" s="278"/>
      <c r="Y42" s="173" t="s">
        <v>269</v>
      </c>
      <c r="Z42" s="170"/>
      <c r="AA42" s="165"/>
      <c r="AO42" s="143" t="e">
        <f>IF(AND(BF47=BF48,BF48=BF49),"CENTRAL","")</f>
        <v>#DIV/0!</v>
      </c>
      <c r="AP42" s="143"/>
      <c r="AQ42" s="143"/>
      <c r="AR42" s="143"/>
      <c r="AU42" s="35"/>
      <c r="AV42" s="35"/>
      <c r="AX42" s="38"/>
      <c r="AY42" s="38"/>
      <c r="BC42" s="55"/>
      <c r="BD42" s="56"/>
      <c r="BE42" s="56"/>
      <c r="BF42" s="56"/>
      <c r="BG42" s="56"/>
      <c r="BH42" s="56"/>
      <c r="BI42" s="56"/>
      <c r="BJ42" s="56"/>
      <c r="BK42" s="57"/>
      <c r="BN42" s="55"/>
      <c r="BO42" s="61">
        <v>17</v>
      </c>
      <c r="BP42" s="35" t="s">
        <v>141</v>
      </c>
      <c r="BQ42" s="56"/>
      <c r="BR42" s="62"/>
      <c r="BS42" s="62"/>
      <c r="BT42" s="56"/>
      <c r="BU42" s="57"/>
      <c r="BY42" s="4"/>
      <c r="BZ42" s="148"/>
      <c r="CA42" s="148"/>
      <c r="CB42" s="68"/>
      <c r="CC42" s="4"/>
      <c r="CD42" s="115"/>
      <c r="CE42" s="115"/>
      <c r="CF42" s="115"/>
      <c r="CG42" s="115"/>
      <c r="CH42" s="115"/>
      <c r="CI42" s="115"/>
      <c r="CJ42" s="115"/>
      <c r="CK42" s="4"/>
      <c r="CM42" s="50"/>
      <c r="CN42" s="60">
        <v>25</v>
      </c>
      <c r="CO42" s="35" t="s">
        <v>141</v>
      </c>
      <c r="CQ42" s="64">
        <v>36</v>
      </c>
      <c r="CR42" s="38" t="s">
        <v>141</v>
      </c>
      <c r="CT42" s="52"/>
      <c r="CU42" s="52"/>
      <c r="CX42" s="50"/>
      <c r="CY42" s="60">
        <v>24</v>
      </c>
      <c r="CZ42" s="35" t="s">
        <v>141</v>
      </c>
      <c r="DB42" s="64">
        <v>30</v>
      </c>
      <c r="DC42" s="38" t="s">
        <v>141</v>
      </c>
      <c r="DE42" s="52"/>
      <c r="DH42" s="60">
        <v>38</v>
      </c>
      <c r="DI42" s="35" t="s">
        <v>141</v>
      </c>
      <c r="DK42" s="64">
        <v>43</v>
      </c>
      <c r="DL42" s="38" t="s">
        <v>141</v>
      </c>
    </row>
    <row r="43" spans="3:141" ht="15" x14ac:dyDescent="0.2">
      <c r="C43" s="240"/>
      <c r="D43" s="377" t="s">
        <v>14</v>
      </c>
      <c r="E43" s="377"/>
      <c r="F43" s="460"/>
      <c r="G43" s="460"/>
      <c r="H43" s="460"/>
      <c r="I43" s="460"/>
      <c r="J43" s="460"/>
      <c r="K43" s="460"/>
      <c r="L43" s="460"/>
      <c r="M43" s="460"/>
      <c r="N43" s="460"/>
      <c r="O43" s="221"/>
      <c r="P43" s="278"/>
      <c r="Y43" s="174" t="e">
        <f>((4.95/Y41)-4.5)*100</f>
        <v>#NUM!</v>
      </c>
      <c r="Z43" s="1"/>
      <c r="AA43" s="168"/>
      <c r="AU43" s="124" t="s">
        <v>66</v>
      </c>
      <c r="AV43" s="124"/>
      <c r="AX43" s="125" t="s">
        <v>131</v>
      </c>
      <c r="AY43" s="125"/>
      <c r="BR43" s="125" t="s">
        <v>66</v>
      </c>
      <c r="BS43" s="125"/>
      <c r="BY43" s="4"/>
      <c r="BZ43" s="115"/>
      <c r="CA43" s="115"/>
      <c r="CB43" s="68"/>
      <c r="CC43" s="4"/>
      <c r="CD43" s="115"/>
      <c r="CE43" s="115"/>
      <c r="CF43" s="115"/>
      <c r="CG43" s="115"/>
      <c r="CH43" s="115"/>
      <c r="CI43" s="115"/>
      <c r="CJ43" s="115"/>
      <c r="CK43" s="4"/>
      <c r="CM43" s="50"/>
      <c r="CN43" s="124" t="s">
        <v>131</v>
      </c>
      <c r="CO43" s="124"/>
      <c r="CQ43" s="125" t="s">
        <v>130</v>
      </c>
      <c r="CR43" s="125"/>
      <c r="CT43" s="52"/>
      <c r="CU43" s="52"/>
      <c r="CX43" s="50"/>
      <c r="CY43" s="124" t="s">
        <v>131</v>
      </c>
      <c r="CZ43" s="124"/>
      <c r="DB43" s="125" t="s">
        <v>130</v>
      </c>
      <c r="DC43" s="125"/>
      <c r="DE43" s="52"/>
      <c r="DH43" s="124" t="s">
        <v>66</v>
      </c>
      <c r="DI43" s="124"/>
      <c r="DK43" s="125" t="s">
        <v>66</v>
      </c>
      <c r="DL43" s="125"/>
      <c r="EI43" s="426"/>
      <c r="EJ43" s="483"/>
      <c r="EK43" s="9"/>
    </row>
    <row r="44" spans="3:141" ht="15" x14ac:dyDescent="0.2">
      <c r="C44" s="240"/>
      <c r="D44" s="377" t="s">
        <v>13</v>
      </c>
      <c r="E44" s="377"/>
      <c r="F44" s="460"/>
      <c r="G44" s="460"/>
      <c r="H44" s="460"/>
      <c r="I44" s="460"/>
      <c r="J44" s="460"/>
      <c r="K44" s="460"/>
      <c r="L44" s="460"/>
      <c r="M44" s="460"/>
      <c r="N44" s="460"/>
      <c r="O44" s="221"/>
      <c r="P44" s="278"/>
      <c r="AU44" s="36">
        <v>0.01</v>
      </c>
      <c r="AV44" s="34" t="s">
        <v>126</v>
      </c>
      <c r="AX44" s="39">
        <v>0.01</v>
      </c>
      <c r="AY44" s="37" t="s">
        <v>126</v>
      </c>
      <c r="BR44" s="64">
        <v>1.01</v>
      </c>
      <c r="BS44" s="37" t="s">
        <v>144</v>
      </c>
      <c r="BY44" s="4"/>
      <c r="BZ44" s="115"/>
      <c r="CA44" s="115"/>
      <c r="CB44" s="68"/>
      <c r="CC44" s="4"/>
      <c r="CD44" s="115"/>
      <c r="CE44" s="115"/>
      <c r="CF44" s="115"/>
      <c r="CG44" s="115"/>
      <c r="CH44" s="115"/>
      <c r="CI44" s="115"/>
      <c r="CJ44" s="115"/>
      <c r="CK44" s="4"/>
      <c r="CM44" s="50"/>
      <c r="CN44" s="59">
        <v>0</v>
      </c>
      <c r="CO44" s="34" t="s">
        <v>144</v>
      </c>
      <c r="CQ44" s="65">
        <v>0</v>
      </c>
      <c r="CR44" s="37" t="s">
        <v>144</v>
      </c>
      <c r="CT44" s="52"/>
      <c r="CU44" s="52"/>
      <c r="CX44" s="50"/>
      <c r="CY44" s="59">
        <v>0</v>
      </c>
      <c r="CZ44" s="34" t="s">
        <v>144</v>
      </c>
      <c r="DB44" s="65">
        <v>0</v>
      </c>
      <c r="DC44" s="37" t="s">
        <v>144</v>
      </c>
      <c r="DE44" s="52"/>
      <c r="DH44" s="59">
        <v>0</v>
      </c>
      <c r="DI44" s="34" t="s">
        <v>196</v>
      </c>
      <c r="DK44" s="65">
        <v>0</v>
      </c>
      <c r="DL44" s="37" t="s">
        <v>196</v>
      </c>
    </row>
    <row r="45" spans="3:141" ht="15" x14ac:dyDescent="0.2">
      <c r="C45" s="241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  <c r="AU45" s="36">
        <v>0.76</v>
      </c>
      <c r="AV45" s="34" t="s">
        <v>127</v>
      </c>
      <c r="AX45" s="41">
        <v>0.9</v>
      </c>
      <c r="AY45" s="37" t="s">
        <v>127</v>
      </c>
      <c r="BE45" t="s">
        <v>158</v>
      </c>
      <c r="BH45" t="e">
        <f>('Avaliação Física 5'!DV15+'Avaliação Física 5'!DV16+'Avaliação Física 5'!DV19)*170.18/BH61</f>
        <v>#DIV/0!</v>
      </c>
      <c r="BR45" s="64">
        <v>5</v>
      </c>
      <c r="BS45" s="37" t="s">
        <v>143</v>
      </c>
      <c r="CM45" s="50"/>
      <c r="CN45" s="59">
        <v>3</v>
      </c>
      <c r="CO45" s="34" t="s">
        <v>143</v>
      </c>
      <c r="CQ45" s="65">
        <v>17</v>
      </c>
      <c r="CR45" s="37" t="s">
        <v>143</v>
      </c>
      <c r="CT45" s="52"/>
      <c r="CU45" s="52"/>
      <c r="CX45" s="50"/>
      <c r="CY45" s="59">
        <v>2</v>
      </c>
      <c r="CZ45" s="34" t="s">
        <v>143</v>
      </c>
      <c r="DB45" s="65">
        <v>10</v>
      </c>
      <c r="DC45" s="37" t="s">
        <v>143</v>
      </c>
      <c r="DE45" s="52"/>
      <c r="DH45" s="59">
        <v>13</v>
      </c>
      <c r="DI45" s="34" t="s">
        <v>144</v>
      </c>
      <c r="DK45" s="65">
        <v>16</v>
      </c>
      <c r="DL45" s="37" t="s">
        <v>144</v>
      </c>
    </row>
    <row r="46" spans="3:141" ht="15" x14ac:dyDescent="0.2"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U46" s="36">
        <v>0.84</v>
      </c>
      <c r="AV46" s="34" t="s">
        <v>128</v>
      </c>
      <c r="AX46" s="39">
        <v>0.97</v>
      </c>
      <c r="AY46" s="37" t="s">
        <v>128</v>
      </c>
      <c r="BD46" s="79"/>
      <c r="BE46" s="79" t="s">
        <v>187</v>
      </c>
      <c r="BF46" s="79"/>
      <c r="BR46" s="64">
        <v>8</v>
      </c>
      <c r="BS46" s="37" t="s">
        <v>142</v>
      </c>
      <c r="CM46" s="50"/>
      <c r="CN46" s="59">
        <v>5</v>
      </c>
      <c r="CO46" s="34" t="s">
        <v>142</v>
      </c>
      <c r="CQ46" s="65">
        <v>22</v>
      </c>
      <c r="CR46" s="37" t="s">
        <v>142</v>
      </c>
      <c r="CT46" s="52"/>
      <c r="CU46" s="52"/>
      <c r="CX46" s="50"/>
      <c r="CY46" s="59">
        <v>7</v>
      </c>
      <c r="CZ46" s="34" t="s">
        <v>142</v>
      </c>
      <c r="DB46" s="65">
        <v>13</v>
      </c>
      <c r="DC46" s="37" t="s">
        <v>142</v>
      </c>
      <c r="DE46" s="52"/>
      <c r="DH46" s="59">
        <v>18</v>
      </c>
      <c r="DI46" s="34" t="s">
        <v>143</v>
      </c>
      <c r="DK46" s="65">
        <v>23</v>
      </c>
      <c r="DL46" s="37" t="s">
        <v>143</v>
      </c>
    </row>
    <row r="47" spans="3:141" ht="15" x14ac:dyDescent="0.2">
      <c r="C47" s="362" t="s">
        <v>228</v>
      </c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T47">
        <f>J72*100</f>
        <v>0</v>
      </c>
      <c r="Y47" s="273" t="s">
        <v>386</v>
      </c>
      <c r="Z47" s="27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U47" s="36">
        <v>0.91</v>
      </c>
      <c r="AV47" s="34" t="s">
        <v>129</v>
      </c>
      <c r="AX47" s="39">
        <v>1.03</v>
      </c>
      <c r="AY47" s="37" t="s">
        <v>129</v>
      </c>
      <c r="BD47" s="121" t="s">
        <v>157</v>
      </c>
      <c r="BE47" s="121"/>
      <c r="BF47" s="80" t="e">
        <f>-0.7182+0.1451*(BH45)-0.00068*(BH45)+0.0000014*(BH45)</f>
        <v>#DIV/0!</v>
      </c>
      <c r="BR47" s="64">
        <v>11</v>
      </c>
      <c r="BS47" s="37" t="s">
        <v>140</v>
      </c>
      <c r="CM47" s="50"/>
      <c r="CN47" s="59">
        <v>12</v>
      </c>
      <c r="CO47" s="34" t="s">
        <v>140</v>
      </c>
      <c r="CQ47" s="65">
        <v>26</v>
      </c>
      <c r="CR47" s="37" t="s">
        <v>140</v>
      </c>
      <c r="CT47" s="52"/>
      <c r="CU47" s="52"/>
      <c r="CX47" s="50"/>
      <c r="CY47" s="59">
        <v>11</v>
      </c>
      <c r="CZ47" s="34" t="s">
        <v>140</v>
      </c>
      <c r="DB47" s="65">
        <v>17</v>
      </c>
      <c r="DC47" s="37" t="s">
        <v>140</v>
      </c>
      <c r="DE47" s="52"/>
      <c r="DH47" s="59">
        <v>24</v>
      </c>
      <c r="DI47" s="34" t="s">
        <v>140</v>
      </c>
      <c r="DK47" s="65">
        <v>31</v>
      </c>
      <c r="DL47" s="37" t="s">
        <v>140</v>
      </c>
    </row>
    <row r="48" spans="3:141" ht="15" x14ac:dyDescent="0.2">
      <c r="C48" s="284"/>
      <c r="D48" s="285"/>
      <c r="E48" s="285"/>
      <c r="F48" s="286"/>
      <c r="G48" s="276"/>
      <c r="H48" s="276"/>
      <c r="I48" s="276"/>
      <c r="J48" s="276"/>
      <c r="K48" s="276"/>
      <c r="L48" s="287"/>
      <c r="M48" s="288"/>
      <c r="N48" s="288"/>
      <c r="O48" s="289"/>
      <c r="P48" s="290"/>
      <c r="Y48" s="267" t="e">
        <f>IF(L9="Feminino",1.0346585-0.00063129*(J78+N78+J79+N79)+0.00000187*(J78+N78+J79+N79)^2-0.000311*(N9)-0.0004889*(F72)+0.00051345*(T47),1.10726863-0.00081201*(F77+F78+J79+N79)+0.00000212*(F77+F78+J79+N79)^2*0.00041761*(N9))</f>
        <v>#VALUE!</v>
      </c>
      <c r="Z48" s="268"/>
      <c r="AB48" s="5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X48" s="38"/>
      <c r="AY48" s="38"/>
      <c r="BD48" s="121" t="s">
        <v>156</v>
      </c>
      <c r="BE48" s="121"/>
      <c r="BF48" s="81">
        <f>0.858*(AJ30)+0.601*(AJ32)+0.188*(BK48)+0.161*(BK49)-0.131*(BH61)+4.5</f>
        <v>4.5</v>
      </c>
      <c r="BJ48" s="310" t="s">
        <v>159</v>
      </c>
      <c r="BK48">
        <f>BK50-(BK52/10)</f>
        <v>0</v>
      </c>
      <c r="BR48" s="64">
        <v>18</v>
      </c>
      <c r="BS48" s="38" t="s">
        <v>141</v>
      </c>
      <c r="CM48" s="50"/>
      <c r="CN48" s="60">
        <v>19</v>
      </c>
      <c r="CO48" s="35" t="s">
        <v>141</v>
      </c>
      <c r="CQ48" s="64">
        <v>36</v>
      </c>
      <c r="CR48" s="38" t="s">
        <v>141</v>
      </c>
      <c r="CT48" s="52"/>
      <c r="CU48" s="52"/>
      <c r="CX48" s="50"/>
      <c r="CY48" s="60">
        <v>21</v>
      </c>
      <c r="CZ48" s="35" t="s">
        <v>141</v>
      </c>
      <c r="DB48" s="64">
        <v>22</v>
      </c>
      <c r="DC48" s="38" t="s">
        <v>141</v>
      </c>
      <c r="DE48" s="52"/>
      <c r="DH48" s="60">
        <v>35</v>
      </c>
      <c r="DI48" s="35" t="s">
        <v>141</v>
      </c>
      <c r="DK48" s="64">
        <v>41</v>
      </c>
      <c r="DL48" s="38" t="s">
        <v>141</v>
      </c>
    </row>
    <row r="49" spans="3:116" ht="15" customHeight="1" x14ac:dyDescent="0.2">
      <c r="C49" s="291"/>
      <c r="D49" s="436" t="s">
        <v>191</v>
      </c>
      <c r="E49" s="436"/>
      <c r="F49" s="436"/>
      <c r="G49" s="436"/>
      <c r="H49" s="436"/>
      <c r="I49" s="436"/>
      <c r="J49" s="436"/>
      <c r="K49" s="436"/>
      <c r="L49" s="312"/>
      <c r="M49" s="259"/>
      <c r="N49" s="259"/>
      <c r="O49" s="256"/>
      <c r="P49" s="292"/>
      <c r="Y49" s="267"/>
      <c r="Z49" s="268"/>
      <c r="AB49" s="5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X49" s="125" t="s">
        <v>66</v>
      </c>
      <c r="AY49" s="125"/>
      <c r="BD49" s="121" t="s">
        <v>155</v>
      </c>
      <c r="BE49" s="121"/>
      <c r="BF49" s="81" t="e">
        <f>IF(BK56&gt;40.75,BK66,BK67)</f>
        <v>#DIV/0!</v>
      </c>
      <c r="BJ49" s="310" t="s">
        <v>160</v>
      </c>
      <c r="BK49">
        <f>BK51-(BK53/10)</f>
        <v>0</v>
      </c>
      <c r="CM49" s="50"/>
      <c r="CQ49" s="125" t="s">
        <v>131</v>
      </c>
      <c r="CR49" s="125"/>
      <c r="CT49" s="52"/>
      <c r="CU49" s="52"/>
      <c r="CX49" s="50"/>
      <c r="DB49" s="125" t="s">
        <v>131</v>
      </c>
      <c r="DC49" s="125"/>
      <c r="DE49" s="52"/>
    </row>
    <row r="50" spans="3:116" ht="15" customHeight="1" x14ac:dyDescent="0.2">
      <c r="C50" s="291"/>
      <c r="D50" s="436"/>
      <c r="E50" s="436"/>
      <c r="F50" s="436"/>
      <c r="G50" s="436"/>
      <c r="H50" s="436"/>
      <c r="I50" s="436"/>
      <c r="J50" s="436"/>
      <c r="K50" s="436"/>
      <c r="L50" s="312"/>
      <c r="M50" s="259"/>
      <c r="N50" s="259"/>
      <c r="O50" s="256"/>
      <c r="P50" s="292"/>
      <c r="Y50" s="272" t="s">
        <v>371</v>
      </c>
      <c r="Z50" s="275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X50" s="41">
        <v>0.01</v>
      </c>
      <c r="AY50" s="37" t="s">
        <v>126</v>
      </c>
      <c r="BD50" s="79"/>
      <c r="BE50" s="79"/>
      <c r="BF50" s="79"/>
      <c r="BJ50" s="310" t="s">
        <v>161</v>
      </c>
      <c r="BK50">
        <f>'Avaliação Física 5'!AJ16</f>
        <v>0</v>
      </c>
      <c r="CM50" s="50"/>
      <c r="CN50" s="124" t="s">
        <v>66</v>
      </c>
      <c r="CO50" s="124"/>
      <c r="CQ50" s="65">
        <v>0</v>
      </c>
      <c r="CR50" s="37" t="s">
        <v>144</v>
      </c>
      <c r="CT50" s="52"/>
      <c r="CU50" s="52"/>
      <c r="CX50" s="50"/>
      <c r="CY50" s="124" t="s">
        <v>66</v>
      </c>
      <c r="CZ50" s="124"/>
      <c r="DB50" s="65">
        <v>0</v>
      </c>
      <c r="DC50" s="37" t="s">
        <v>144</v>
      </c>
      <c r="DE50" s="52"/>
      <c r="DH50" s="126"/>
      <c r="DI50" s="126"/>
      <c r="DK50" s="126"/>
      <c r="DL50" s="126"/>
    </row>
    <row r="51" spans="3:116" ht="4.9000000000000004" customHeight="1" x14ac:dyDescent="0.2">
      <c r="C51" s="291"/>
      <c r="D51" s="293"/>
      <c r="E51" s="293"/>
      <c r="F51" s="294"/>
      <c r="G51" s="221"/>
      <c r="H51" s="221"/>
      <c r="I51" s="221"/>
      <c r="J51" s="221"/>
      <c r="K51" s="221"/>
      <c r="L51" s="312"/>
      <c r="M51" s="259"/>
      <c r="N51" s="259"/>
      <c r="O51" s="256"/>
      <c r="P51" s="292"/>
      <c r="Y51" s="267"/>
      <c r="Z51" s="268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X51" s="39">
        <v>0.91</v>
      </c>
      <c r="AY51" s="37" t="s">
        <v>127</v>
      </c>
      <c r="BJ51" s="310" t="s">
        <v>162</v>
      </c>
      <c r="BK51">
        <f>AJ18</f>
        <v>0</v>
      </c>
      <c r="CM51" s="50"/>
      <c r="CN51" s="60">
        <v>0</v>
      </c>
      <c r="CO51" s="34" t="s">
        <v>144</v>
      </c>
      <c r="CQ51" s="65">
        <v>13</v>
      </c>
      <c r="CR51" s="37" t="s">
        <v>143</v>
      </c>
      <c r="CT51" s="52"/>
      <c r="CU51" s="52"/>
      <c r="CX51" s="50"/>
      <c r="CY51" s="60">
        <v>0</v>
      </c>
      <c r="CZ51" s="34" t="s">
        <v>144</v>
      </c>
      <c r="DB51" s="65">
        <v>7</v>
      </c>
      <c r="DC51" s="37" t="s">
        <v>143</v>
      </c>
      <c r="DE51" s="52"/>
      <c r="DH51" s="86"/>
      <c r="DK51" s="86"/>
    </row>
    <row r="52" spans="3:116" ht="15" x14ac:dyDescent="0.2">
      <c r="C52" s="291"/>
      <c r="D52" s="437" t="s">
        <v>360</v>
      </c>
      <c r="E52" s="437"/>
      <c r="F52" s="437"/>
      <c r="G52" s="437"/>
      <c r="H52" s="437"/>
      <c r="I52" s="437"/>
      <c r="J52" s="437"/>
      <c r="K52" s="221"/>
      <c r="L52" s="312"/>
      <c r="M52" s="259"/>
      <c r="N52" s="259"/>
      <c r="O52" s="256"/>
      <c r="P52" s="292"/>
      <c r="Y52" s="269" t="e">
        <f>((4.95/Y48)-4.5)*100</f>
        <v>#VALUE!</v>
      </c>
      <c r="Z52" s="268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X52" s="39">
        <v>0.99</v>
      </c>
      <c r="AY52" s="37" t="s">
        <v>128</v>
      </c>
      <c r="BJ52" s="310" t="s">
        <v>163</v>
      </c>
      <c r="BK52">
        <f>'Avaliação Física 5'!DV16</f>
        <v>0</v>
      </c>
      <c r="CM52" s="50"/>
      <c r="CN52" s="60">
        <v>2</v>
      </c>
      <c r="CO52" s="34" t="s">
        <v>143</v>
      </c>
      <c r="CQ52" s="65">
        <v>18</v>
      </c>
      <c r="CR52" s="37" t="s">
        <v>142</v>
      </c>
      <c r="CT52" s="52"/>
      <c r="CU52" s="52"/>
      <c r="CX52" s="50"/>
      <c r="CY52" s="60">
        <v>1</v>
      </c>
      <c r="CZ52" s="34" t="s">
        <v>143</v>
      </c>
      <c r="DB52" s="65">
        <v>10</v>
      </c>
      <c r="DC52" s="37" t="s">
        <v>142</v>
      </c>
      <c r="DE52" s="52"/>
      <c r="DH52" s="86"/>
      <c r="DK52" s="86"/>
    </row>
    <row r="53" spans="3:116" ht="4.1500000000000004" customHeight="1" x14ac:dyDescent="0.2">
      <c r="C53" s="291"/>
      <c r="D53" s="293"/>
      <c r="E53" s="293"/>
      <c r="F53" s="293"/>
      <c r="G53" s="293"/>
      <c r="H53" s="293"/>
      <c r="I53" s="293"/>
      <c r="J53" s="293"/>
      <c r="K53" s="221"/>
      <c r="L53" s="312"/>
      <c r="M53" s="259"/>
      <c r="N53" s="259"/>
      <c r="O53" s="256"/>
      <c r="P53" s="292"/>
      <c r="Y53" s="270"/>
      <c r="Z53" s="271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X53" s="39">
        <v>1.04</v>
      </c>
      <c r="AY53" s="37" t="s">
        <v>129</v>
      </c>
      <c r="BJ53" s="310" t="s">
        <v>164</v>
      </c>
      <c r="BK53">
        <f>'Avaliação Física 5'!DV21</f>
        <v>0</v>
      </c>
      <c r="CM53" s="50"/>
      <c r="CN53" s="60">
        <v>4</v>
      </c>
      <c r="CO53" s="34" t="s">
        <v>142</v>
      </c>
      <c r="CQ53" s="65">
        <v>22</v>
      </c>
      <c r="CR53" s="37" t="s">
        <v>140</v>
      </c>
      <c r="CT53" s="52"/>
      <c r="CU53" s="52"/>
      <c r="CX53" s="50"/>
      <c r="CY53" s="60">
        <v>5</v>
      </c>
      <c r="CZ53" s="34" t="s">
        <v>142</v>
      </c>
      <c r="DB53" s="65">
        <v>13</v>
      </c>
      <c r="DC53" s="37" t="s">
        <v>140</v>
      </c>
      <c r="DE53" s="52"/>
      <c r="DH53" s="86"/>
      <c r="DK53" s="86"/>
    </row>
    <row r="54" spans="3:116" ht="14.25" customHeight="1" x14ac:dyDescent="0.2">
      <c r="C54" s="291"/>
      <c r="D54" s="437" t="s">
        <v>9</v>
      </c>
      <c r="E54" s="437"/>
      <c r="F54" s="437"/>
      <c r="G54" s="437"/>
      <c r="H54" s="437"/>
      <c r="I54" s="437"/>
      <c r="J54" s="437"/>
      <c r="K54" s="221"/>
      <c r="L54" s="312"/>
      <c r="M54" s="259"/>
      <c r="N54" s="259"/>
      <c r="O54" s="256"/>
      <c r="P54" s="292"/>
      <c r="T54" s="21" t="e">
        <f>(X68+X78+S78)/3</f>
        <v>#VALUE!</v>
      </c>
      <c r="X54" s="102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BB54" s="121" t="s">
        <v>185</v>
      </c>
      <c r="BC54" s="121"/>
      <c r="BD54" s="121"/>
      <c r="CM54" s="50"/>
      <c r="CN54" s="60">
        <v>12</v>
      </c>
      <c r="CO54" s="34" t="s">
        <v>140</v>
      </c>
      <c r="CQ54" s="64">
        <v>31</v>
      </c>
      <c r="CR54" s="38" t="s">
        <v>141</v>
      </c>
      <c r="CT54" s="52"/>
      <c r="CU54" s="52"/>
      <c r="CX54" s="50"/>
      <c r="CY54" s="60">
        <v>12</v>
      </c>
      <c r="CZ54" s="34" t="s">
        <v>140</v>
      </c>
      <c r="DB54" s="64">
        <v>21</v>
      </c>
      <c r="DC54" s="38" t="s">
        <v>141</v>
      </c>
      <c r="DE54" s="52"/>
      <c r="DH54" s="86"/>
      <c r="DK54" s="86"/>
    </row>
    <row r="55" spans="3:116" ht="4.9000000000000004" customHeight="1" x14ac:dyDescent="0.2">
      <c r="C55" s="291"/>
      <c r="D55" s="293"/>
      <c r="E55" s="293"/>
      <c r="F55" s="294"/>
      <c r="G55" s="221"/>
      <c r="H55" s="221"/>
      <c r="I55" s="221"/>
      <c r="J55" s="221"/>
      <c r="K55" s="221"/>
      <c r="L55" s="312"/>
      <c r="M55" s="259"/>
      <c r="N55" s="259"/>
      <c r="O55" s="256"/>
      <c r="P55" s="29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BB55" s="79"/>
      <c r="BC55" s="79"/>
      <c r="BD55" s="79"/>
      <c r="BO55" s="126" t="s">
        <v>155</v>
      </c>
      <c r="BP55" s="126"/>
      <c r="BQ55" t="e">
        <f>IF(BK56&gt;0.01,HLOOKUP(BK56,BN66:BO68,3,TRUE))</f>
        <v>#DIV/0!</v>
      </c>
      <c r="CM55" s="55"/>
      <c r="CN55" s="61">
        <v>16</v>
      </c>
      <c r="CO55" s="35" t="s">
        <v>141</v>
      </c>
      <c r="CP55" s="56"/>
      <c r="CQ55" s="62"/>
      <c r="CR55" s="62"/>
      <c r="CS55" s="56"/>
      <c r="CT55" s="57"/>
      <c r="CU55" s="57"/>
      <c r="CX55" s="55"/>
      <c r="CY55" s="61">
        <v>17</v>
      </c>
      <c r="CZ55" s="35" t="s">
        <v>141</v>
      </c>
      <c r="DA55" s="56"/>
      <c r="DB55" s="62"/>
      <c r="DC55" s="62"/>
      <c r="DD55" s="56"/>
      <c r="DE55" s="57"/>
      <c r="DH55" s="86"/>
      <c r="DK55" s="86"/>
    </row>
    <row r="56" spans="3:116" ht="15" customHeight="1" x14ac:dyDescent="0.2">
      <c r="C56" s="291"/>
      <c r="D56" s="437" t="s">
        <v>10</v>
      </c>
      <c r="E56" s="437"/>
      <c r="F56" s="437"/>
      <c r="G56" s="437"/>
      <c r="H56" s="437"/>
      <c r="I56" s="437"/>
      <c r="J56" s="437"/>
      <c r="K56" s="221"/>
      <c r="L56" s="312"/>
      <c r="M56" s="259"/>
      <c r="N56" s="259"/>
      <c r="O56" s="256"/>
      <c r="P56" s="292"/>
      <c r="BB56" s="121" t="s">
        <v>186</v>
      </c>
      <c r="BC56" s="121"/>
      <c r="BD56" s="121"/>
      <c r="BI56" s="126" t="s">
        <v>165</v>
      </c>
      <c r="BJ56" s="126"/>
      <c r="BK56" t="e">
        <f>BH61/BK58</f>
        <v>#DIV/0!</v>
      </c>
      <c r="CQ56" s="125" t="s">
        <v>66</v>
      </c>
      <c r="CR56" s="125"/>
      <c r="DB56" s="125" t="s">
        <v>66</v>
      </c>
      <c r="DC56" s="125"/>
    </row>
    <row r="57" spans="3:116" ht="4.9000000000000004" customHeight="1" x14ac:dyDescent="0.2">
      <c r="C57" s="291"/>
      <c r="D57" s="293"/>
      <c r="E57" s="293"/>
      <c r="F57" s="294"/>
      <c r="G57" s="221"/>
      <c r="H57" s="221"/>
      <c r="I57" s="221"/>
      <c r="J57" s="221"/>
      <c r="K57" s="221"/>
      <c r="L57" s="312"/>
      <c r="M57" s="259"/>
      <c r="N57" s="259"/>
      <c r="O57" s="256"/>
      <c r="P57" s="292"/>
      <c r="BB57" s="79"/>
      <c r="BC57" s="79"/>
      <c r="BD57" s="79"/>
      <c r="CQ57" s="64">
        <v>0</v>
      </c>
      <c r="CR57" s="37" t="s">
        <v>144</v>
      </c>
      <c r="DB57" s="64">
        <v>0</v>
      </c>
      <c r="DC57" s="37" t="s">
        <v>144</v>
      </c>
    </row>
    <row r="58" spans="3:116" ht="15" x14ac:dyDescent="0.2">
      <c r="C58" s="291"/>
      <c r="D58" s="436" t="s">
        <v>192</v>
      </c>
      <c r="E58" s="436"/>
      <c r="F58" s="436"/>
      <c r="G58" s="436"/>
      <c r="H58" s="436"/>
      <c r="I58" s="436"/>
      <c r="J58" s="436"/>
      <c r="K58" s="221"/>
      <c r="L58" s="312"/>
      <c r="M58" s="259"/>
      <c r="N58" s="259"/>
      <c r="O58" s="256"/>
      <c r="P58" s="292"/>
      <c r="V58" s="177" t="e">
        <f ca="1">(IF(E75="Faulkner",AB88,"-"),IF(E75="Jackson e Pollock 7 dobras",AB89,"-"),IF(E75="Jackson e Pollock 3 dobras",AB90,"-"),IF(E75="Guedes 3 dobras",AB91,"-"))</f>
        <v>#VALUE!</v>
      </c>
      <c r="BB58" s="79"/>
      <c r="BC58" s="79"/>
      <c r="BD58" s="79"/>
      <c r="BI58" t="s">
        <v>166</v>
      </c>
      <c r="BK58">
        <f>AP9^(1/3)</f>
        <v>0</v>
      </c>
      <c r="CQ58" s="64">
        <v>7</v>
      </c>
      <c r="CR58" s="37" t="s">
        <v>143</v>
      </c>
      <c r="DB58" s="64">
        <v>5</v>
      </c>
      <c r="DC58" s="37" t="s">
        <v>143</v>
      </c>
    </row>
    <row r="59" spans="3:116" ht="15" customHeight="1" x14ac:dyDescent="0.2">
      <c r="C59" s="291"/>
      <c r="D59" s="436"/>
      <c r="E59" s="436"/>
      <c r="F59" s="436"/>
      <c r="G59" s="436"/>
      <c r="H59" s="436"/>
      <c r="I59" s="436"/>
      <c r="J59" s="436"/>
      <c r="K59" s="221"/>
      <c r="L59" s="312"/>
      <c r="M59" s="259"/>
      <c r="N59" s="259"/>
      <c r="O59" s="256"/>
      <c r="P59" s="292"/>
      <c r="Y59" s="163" t="s">
        <v>262</v>
      </c>
      <c r="Z59" s="3"/>
      <c r="AA59" s="3"/>
      <c r="AB59" s="164"/>
      <c r="CQ59" s="64">
        <v>12</v>
      </c>
      <c r="CR59" s="37" t="s">
        <v>142</v>
      </c>
      <c r="DB59" s="64">
        <v>8</v>
      </c>
      <c r="DC59" s="37" t="s">
        <v>142</v>
      </c>
    </row>
    <row r="60" spans="3:116" ht="4.9000000000000004" customHeight="1" x14ac:dyDescent="0.2">
      <c r="C60" s="291"/>
      <c r="D60" s="293"/>
      <c r="E60" s="293"/>
      <c r="F60" s="294"/>
      <c r="G60" s="221"/>
      <c r="H60" s="221"/>
      <c r="I60" s="221"/>
      <c r="J60" s="221"/>
      <c r="K60" s="221"/>
      <c r="L60" s="312"/>
      <c r="M60" s="259"/>
      <c r="N60" s="259"/>
      <c r="O60" s="256"/>
      <c r="P60" s="292"/>
      <c r="Y60" s="2"/>
      <c r="Z60" s="106"/>
      <c r="AA60" s="106"/>
      <c r="AB60" s="165"/>
      <c r="CQ60" s="64">
        <v>11</v>
      </c>
      <c r="CR60" s="37" t="s">
        <v>140</v>
      </c>
      <c r="DB60" s="64">
        <v>11</v>
      </c>
      <c r="DC60" s="37" t="s">
        <v>140</v>
      </c>
    </row>
    <row r="61" spans="3:116" ht="15" customHeight="1" x14ac:dyDescent="0.2">
      <c r="C61" s="291"/>
      <c r="D61" s="436" t="s">
        <v>193</v>
      </c>
      <c r="E61" s="436"/>
      <c r="F61" s="436"/>
      <c r="G61" s="436"/>
      <c r="H61" s="436"/>
      <c r="I61" s="436"/>
      <c r="J61" s="436"/>
      <c r="K61" s="221"/>
      <c r="L61" s="312"/>
      <c r="M61" s="259"/>
      <c r="N61" s="259"/>
      <c r="O61" s="256"/>
      <c r="P61" s="292"/>
      <c r="Y61" s="2">
        <f>J77+N77+N78</f>
        <v>0</v>
      </c>
      <c r="Z61" s="106"/>
      <c r="AA61" s="106"/>
      <c r="AB61" s="165"/>
      <c r="BG61" s="75" t="s">
        <v>167</v>
      </c>
      <c r="BH61" s="73">
        <f>AP10*100</f>
        <v>0</v>
      </c>
      <c r="BK61" t="e">
        <f ca="1">IF(BK56&gt;40.75,(BK56*0.732)-28.58),IF(BK56&lt;=40.74,(BK56*0.463)-17.63),IF(BK56&lt;=38.25,0.1)</f>
        <v>#DIV/0!</v>
      </c>
      <c r="CQ61" s="64">
        <v>26</v>
      </c>
      <c r="CR61" s="38" t="s">
        <v>141</v>
      </c>
      <c r="DB61" s="64">
        <v>18</v>
      </c>
      <c r="DC61" s="38" t="s">
        <v>141</v>
      </c>
    </row>
    <row r="62" spans="3:116" ht="15" x14ac:dyDescent="0.2">
      <c r="C62" s="291"/>
      <c r="D62" s="436"/>
      <c r="E62" s="436"/>
      <c r="F62" s="436"/>
      <c r="G62" s="436"/>
      <c r="H62" s="436"/>
      <c r="I62" s="436"/>
      <c r="J62" s="436"/>
      <c r="K62" s="221"/>
      <c r="L62" s="312"/>
      <c r="M62" s="259"/>
      <c r="N62" s="259"/>
      <c r="O62" s="256"/>
      <c r="P62" s="292"/>
      <c r="V62" s="21" t="e">
        <f ca="1">IF(E75="Faulkner",S78,"-"),IF(E75="Jackson e Pollock 7 dobras",EL26,"-"),IF(E75="Jackson e Pollock 3 dobras",X78,"-")</f>
        <v>#VALUE!</v>
      </c>
      <c r="Y62" s="2"/>
      <c r="Z62" s="106"/>
      <c r="AA62" s="106"/>
      <c r="AB62" s="165"/>
      <c r="BC62" s="126"/>
      <c r="BD62" s="126"/>
      <c r="BE62" s="126"/>
    </row>
    <row r="63" spans="3:116" ht="4.9000000000000004" customHeight="1" x14ac:dyDescent="0.2">
      <c r="C63" s="291"/>
      <c r="D63" s="293"/>
      <c r="E63" s="293"/>
      <c r="F63" s="294"/>
      <c r="G63" s="221"/>
      <c r="H63" s="221"/>
      <c r="I63" s="221"/>
      <c r="J63" s="221"/>
      <c r="K63" s="221"/>
      <c r="L63" s="312"/>
      <c r="M63" s="259"/>
      <c r="N63" s="259"/>
      <c r="O63" s="256"/>
      <c r="P63" s="292"/>
      <c r="Y63" s="2"/>
      <c r="Z63" s="106"/>
      <c r="AA63" s="106"/>
      <c r="AB63" s="165"/>
      <c r="BC63" s="126"/>
      <c r="BD63" s="126"/>
      <c r="BE63" s="126"/>
    </row>
    <row r="64" spans="3:116" ht="15" x14ac:dyDescent="0.2">
      <c r="C64" s="291"/>
      <c r="D64" s="437" t="s">
        <v>11</v>
      </c>
      <c r="E64" s="437"/>
      <c r="F64" s="437"/>
      <c r="G64" s="437"/>
      <c r="H64" s="437"/>
      <c r="I64" s="437"/>
      <c r="J64" s="437"/>
      <c r="K64" s="221"/>
      <c r="L64" s="312"/>
      <c r="M64" s="259"/>
      <c r="N64" s="259"/>
      <c r="O64" s="256"/>
      <c r="P64" s="292"/>
      <c r="Y64" s="2" t="s">
        <v>261</v>
      </c>
      <c r="Z64" s="106"/>
      <c r="AA64" s="106"/>
      <c r="AB64" s="165"/>
      <c r="BB64">
        <v>3</v>
      </c>
      <c r="BC64" s="126" t="s">
        <v>174</v>
      </c>
      <c r="BD64" s="126"/>
      <c r="BE64" s="126"/>
    </row>
    <row r="65" spans="3:69" ht="15" x14ac:dyDescent="0.2">
      <c r="C65" s="295"/>
      <c r="D65" s="296"/>
      <c r="E65" s="296"/>
      <c r="F65" s="297"/>
      <c r="G65" s="279"/>
      <c r="H65" s="279"/>
      <c r="I65" s="279"/>
      <c r="J65" s="279"/>
      <c r="K65" s="279"/>
      <c r="L65" s="298"/>
      <c r="M65" s="299"/>
      <c r="N65" s="299"/>
      <c r="O65" s="298"/>
      <c r="P65" s="300"/>
      <c r="Y65" s="166">
        <f>F78+J79+N78</f>
        <v>0</v>
      </c>
      <c r="Z65" s="1"/>
      <c r="AA65" s="1"/>
      <c r="AB65" s="168"/>
      <c r="BC65" s="126"/>
      <c r="BD65" s="126"/>
      <c r="BE65" s="126"/>
      <c r="BI65" s="127" t="s">
        <v>171</v>
      </c>
      <c r="BJ65" s="127"/>
      <c r="BK65" s="127"/>
      <c r="BM65" s="127" t="s">
        <v>171</v>
      </c>
      <c r="BN65" s="127"/>
      <c r="BO65" s="127"/>
    </row>
    <row r="66" spans="3:69" ht="15" hidden="1" x14ac:dyDescent="0.2">
      <c r="BC66" s="126"/>
      <c r="BD66" s="126"/>
      <c r="BE66" s="126"/>
      <c r="BI66" s="71"/>
      <c r="BJ66" s="71" t="s">
        <v>168</v>
      </c>
      <c r="BK66" s="74" t="e">
        <f>(BK56*0.732)-28.58</f>
        <v>#DIV/0!</v>
      </c>
      <c r="BM66" s="71"/>
      <c r="BN66" s="77">
        <v>40.76</v>
      </c>
      <c r="BO66" s="74" t="e">
        <f>BK66</f>
        <v>#DIV/0!</v>
      </c>
    </row>
    <row r="67" spans="3:69" ht="15" x14ac:dyDescent="0.2">
      <c r="C67" s="362" t="s">
        <v>203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S67" t="s">
        <v>375</v>
      </c>
      <c r="BC67" s="126"/>
      <c r="BD67" s="126"/>
      <c r="BE67" s="126"/>
      <c r="BI67" s="128" t="s">
        <v>169</v>
      </c>
      <c r="BJ67" s="128"/>
      <c r="BK67" s="74" t="e">
        <f>(BK56*0.463)-17.63</f>
        <v>#DIV/0!</v>
      </c>
      <c r="BM67" s="76"/>
      <c r="BN67" s="78">
        <v>38.26</v>
      </c>
      <c r="BO67" s="74" t="e">
        <f>BK67</f>
        <v>#DIV/0!</v>
      </c>
    </row>
    <row r="68" spans="3:69" ht="15" x14ac:dyDescent="0.2">
      <c r="C68" s="238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7"/>
      <c r="S68" t="s">
        <v>385</v>
      </c>
      <c r="W68" s="310" t="s">
        <v>40</v>
      </c>
      <c r="X68" s="178" t="str">
        <f>IF(E75="Faulkner",S78,"-")</f>
        <v>-</v>
      </c>
      <c r="Z68" s="32"/>
      <c r="AB68" s="21"/>
      <c r="AD68" s="21"/>
      <c r="BC68" s="126"/>
      <c r="BD68" s="126"/>
      <c r="BE68" s="126"/>
      <c r="BI68" s="71"/>
      <c r="BJ68" s="71" t="s">
        <v>170</v>
      </c>
      <c r="BK68" s="71">
        <v>0.1</v>
      </c>
      <c r="BM68" s="71"/>
      <c r="BN68" s="77">
        <v>1</v>
      </c>
      <c r="BO68" s="74">
        <f>BK68</f>
        <v>0.1</v>
      </c>
    </row>
    <row r="69" spans="3:69" ht="15" x14ac:dyDescent="0.2">
      <c r="C69" s="240"/>
      <c r="D69" s="221"/>
      <c r="E69" s="221"/>
      <c r="F69" s="306" t="s">
        <v>92</v>
      </c>
      <c r="G69" s="221"/>
      <c r="H69" s="306" t="s">
        <v>93</v>
      </c>
      <c r="I69" s="221"/>
      <c r="J69" s="221"/>
      <c r="K69" s="221"/>
      <c r="L69" s="221"/>
      <c r="M69" s="221"/>
      <c r="N69" s="221"/>
      <c r="O69" s="221"/>
      <c r="P69" s="278"/>
      <c r="S69" t="s">
        <v>258</v>
      </c>
      <c r="BC69" s="126"/>
      <c r="BD69" s="126"/>
      <c r="BE69" s="126"/>
    </row>
    <row r="70" spans="3:69" ht="15" x14ac:dyDescent="0.2">
      <c r="C70" s="240"/>
      <c r="D70" s="307" t="s">
        <v>12</v>
      </c>
      <c r="E70" s="307"/>
      <c r="F70" s="313"/>
      <c r="G70" s="221"/>
      <c r="H70" s="313"/>
      <c r="I70" s="221"/>
      <c r="J70" s="377" t="s">
        <v>91</v>
      </c>
      <c r="K70" s="377"/>
      <c r="L70" s="249"/>
      <c r="M70" s="221"/>
      <c r="N70" s="221"/>
      <c r="O70" s="221"/>
      <c r="P70" s="278"/>
      <c r="S70" t="s">
        <v>265</v>
      </c>
      <c r="BB70">
        <v>9</v>
      </c>
      <c r="BC70" s="126" t="s">
        <v>180</v>
      </c>
      <c r="BD70" s="126"/>
      <c r="BE70" s="126"/>
    </row>
    <row r="71" spans="3:69" ht="15" x14ac:dyDescent="0.2">
      <c r="C71" s="240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78"/>
      <c r="S71" t="s">
        <v>373</v>
      </c>
      <c r="W71" s="163"/>
      <c r="X71" s="169" t="s">
        <v>260</v>
      </c>
      <c r="Y71" s="169"/>
      <c r="Z71" s="169"/>
      <c r="AA71" s="171"/>
      <c r="BC71" s="126"/>
      <c r="BD71" s="126"/>
      <c r="BE71" s="126"/>
      <c r="BQ71" s="79" t="s">
        <v>138</v>
      </c>
    </row>
    <row r="72" spans="3:69" ht="15" x14ac:dyDescent="0.2">
      <c r="C72" s="240"/>
      <c r="D72" s="377" t="s">
        <v>118</v>
      </c>
      <c r="E72" s="377"/>
      <c r="F72" s="264"/>
      <c r="G72" s="221"/>
      <c r="H72" s="377" t="s">
        <v>17</v>
      </c>
      <c r="I72" s="377"/>
      <c r="J72" s="250"/>
      <c r="K72" s="377" t="s">
        <v>277</v>
      </c>
      <c r="L72" s="377"/>
      <c r="M72" s="377"/>
      <c r="N72" s="258" t="str">
        <f>IF(J72="","-",66+(13.8*F72)+(5*U102)-(6.8*N9))</f>
        <v>-</v>
      </c>
      <c r="O72" s="221"/>
      <c r="P72" s="278"/>
      <c r="S72" t="s">
        <v>372</v>
      </c>
      <c r="W72" s="2"/>
      <c r="X72" s="106" t="e">
        <f>IF(EJ4=0,SUM(1.0994921-(0.0009929*Y65)+(0.0000023*(Y65*Y65))-(0.0001392*N9)),SUM((1.10938-(0.0008267*Y61)+(0.0000016*(Y61*Y61))-(0.0002574*N9))))</f>
        <v>#VALUE!</v>
      </c>
      <c r="Y72" s="106"/>
      <c r="Z72" s="106"/>
      <c r="AA72" s="165"/>
      <c r="BC72" s="126"/>
      <c r="BD72" s="126"/>
      <c r="BE72" s="126"/>
      <c r="BQ72" s="79">
        <v>6</v>
      </c>
    </row>
    <row r="73" spans="3:69" ht="15" x14ac:dyDescent="0.2">
      <c r="C73" s="240"/>
      <c r="D73" s="307"/>
      <c r="E73" s="307"/>
      <c r="F73" s="312"/>
      <c r="G73" s="256"/>
      <c r="H73" s="312"/>
      <c r="I73" s="221"/>
      <c r="J73" s="221"/>
      <c r="K73" s="221"/>
      <c r="L73" s="221"/>
      <c r="M73" s="221"/>
      <c r="N73" s="221"/>
      <c r="O73" s="221"/>
      <c r="P73" s="278"/>
      <c r="S73" t="s">
        <v>387</v>
      </c>
      <c r="W73" s="2"/>
      <c r="X73" s="106"/>
      <c r="Y73" s="106"/>
      <c r="Z73" s="106"/>
      <c r="AA73" s="165"/>
      <c r="BC73" s="126"/>
      <c r="BD73" s="126"/>
      <c r="BE73" s="126"/>
    </row>
    <row r="74" spans="3:69" ht="15" x14ac:dyDescent="0.2">
      <c r="C74" s="240"/>
      <c r="D74" s="493" t="s">
        <v>256</v>
      </c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78"/>
      <c r="S74" t="s">
        <v>374</v>
      </c>
      <c r="W74" s="2"/>
      <c r="X74" s="106"/>
      <c r="Y74" s="106"/>
      <c r="Z74" s="106"/>
      <c r="AA74" s="165"/>
      <c r="BC74" s="126"/>
      <c r="BD74" s="126"/>
      <c r="BE74" s="126"/>
    </row>
    <row r="75" spans="3:69" ht="15" x14ac:dyDescent="0.2">
      <c r="C75" s="240"/>
      <c r="D75" s="493"/>
      <c r="E75" s="383"/>
      <c r="F75" s="384"/>
      <c r="G75" s="384"/>
      <c r="H75" s="384"/>
      <c r="I75" s="384"/>
      <c r="J75" s="385"/>
      <c r="K75" s="221"/>
      <c r="L75" s="221"/>
      <c r="M75" s="221"/>
      <c r="N75" s="221"/>
      <c r="O75" s="221"/>
      <c r="P75" s="278"/>
      <c r="S75" t="s">
        <v>376</v>
      </c>
      <c r="W75" s="2"/>
      <c r="X75" s="106"/>
      <c r="Y75" s="106"/>
      <c r="Z75" s="106"/>
      <c r="AA75" s="165"/>
      <c r="BC75" s="126"/>
      <c r="BD75" s="126"/>
      <c r="BE75" s="126"/>
    </row>
    <row r="76" spans="3:69" ht="15" x14ac:dyDescent="0.2">
      <c r="C76" s="240"/>
      <c r="D76" s="376" t="s">
        <v>116</v>
      </c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221"/>
      <c r="P76" s="278"/>
      <c r="W76" s="2"/>
      <c r="X76" s="106"/>
      <c r="Y76" s="106"/>
      <c r="Z76" s="106"/>
      <c r="AA76" s="165"/>
      <c r="BC76" s="126"/>
      <c r="BD76" s="126"/>
      <c r="BE76" s="126"/>
      <c r="BL76" t="e">
        <f>VLOOKUP(BQ72,BB62:BE76,2,FALSE)</f>
        <v>#N/A</v>
      </c>
    </row>
    <row r="77" spans="3:69" ht="15" x14ac:dyDescent="0.2">
      <c r="C77" s="240"/>
      <c r="D77" s="377" t="s">
        <v>18</v>
      </c>
      <c r="E77" s="377"/>
      <c r="F77" s="313"/>
      <c r="G77" s="221"/>
      <c r="H77" s="377" t="s">
        <v>20</v>
      </c>
      <c r="I77" s="377"/>
      <c r="J77" s="313"/>
      <c r="K77" s="221"/>
      <c r="L77" s="377" t="s">
        <v>22</v>
      </c>
      <c r="M77" s="377"/>
      <c r="N77" s="313"/>
      <c r="O77" s="221"/>
      <c r="P77" s="278"/>
      <c r="S77" s="175" t="s">
        <v>259</v>
      </c>
      <c r="W77" s="2"/>
      <c r="X77" s="170" t="s">
        <v>266</v>
      </c>
      <c r="Y77" s="170"/>
      <c r="Z77" s="106"/>
      <c r="AA77" s="165"/>
    </row>
    <row r="78" spans="3:69" ht="15" x14ac:dyDescent="0.2">
      <c r="C78" s="240"/>
      <c r="D78" s="377" t="s">
        <v>19</v>
      </c>
      <c r="E78" s="377"/>
      <c r="F78" s="313"/>
      <c r="G78" s="221"/>
      <c r="H78" s="377" t="s">
        <v>21</v>
      </c>
      <c r="I78" s="377"/>
      <c r="J78" s="313"/>
      <c r="K78" s="221"/>
      <c r="L78" s="377" t="s">
        <v>23</v>
      </c>
      <c r="M78" s="377"/>
      <c r="N78" s="313"/>
      <c r="O78" s="221"/>
      <c r="P78" s="278"/>
      <c r="S78" s="176">
        <f>(F78+F77+J79+N77)*0.153+5.783</f>
        <v>5.7830000000000004</v>
      </c>
      <c r="W78" s="166"/>
      <c r="X78" s="167" t="e">
        <f>((4.95/X72)-4.5)*100</f>
        <v>#VALUE!</v>
      </c>
      <c r="Y78" s="1"/>
      <c r="Z78" s="1"/>
      <c r="AA78" s="168"/>
    </row>
    <row r="79" spans="3:69" ht="15" x14ac:dyDescent="0.2">
      <c r="C79" s="240"/>
      <c r="D79" s="377" t="s">
        <v>368</v>
      </c>
      <c r="E79" s="377"/>
      <c r="F79" s="313"/>
      <c r="G79" s="221"/>
      <c r="H79" s="377" t="s">
        <v>43</v>
      </c>
      <c r="I79" s="377"/>
      <c r="J79" s="313"/>
      <c r="K79" s="221"/>
      <c r="L79" s="377" t="s">
        <v>367</v>
      </c>
      <c r="M79" s="377"/>
      <c r="N79" s="313"/>
      <c r="O79" s="221"/>
      <c r="P79" s="278"/>
    </row>
    <row r="80" spans="3:69" ht="15" x14ac:dyDescent="0.2">
      <c r="C80" s="240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78"/>
      <c r="W80" s="426" t="s">
        <v>375</v>
      </c>
      <c r="X80" s="426"/>
      <c r="Y80" s="21" t="e">
        <f>IF(L9="Feminino",1.2*J101+0.23*N9-10.8*0-5.4,1.2*J101+0.23*N9-10.8*1-5.4)</f>
        <v>#VALUE!</v>
      </c>
    </row>
    <row r="81" spans="3:61" ht="15" x14ac:dyDescent="0.2">
      <c r="C81" s="240"/>
      <c r="D81" s="221"/>
      <c r="E81" s="221"/>
      <c r="F81" s="221"/>
      <c r="G81" s="221"/>
      <c r="H81" s="221"/>
      <c r="I81" s="221"/>
      <c r="J81" s="221"/>
      <c r="K81" s="221"/>
      <c r="L81" s="377" t="s">
        <v>24</v>
      </c>
      <c r="M81" s="377"/>
      <c r="N81" s="257">
        <f>'Avaliação Física 5'!DV23+N79+F79</f>
        <v>0</v>
      </c>
      <c r="O81" s="221"/>
      <c r="P81" s="278"/>
      <c r="W81" s="426" t="s">
        <v>376</v>
      </c>
      <c r="X81" s="426"/>
      <c r="Y81" s="21">
        <f>IF(L9="feminino",0.11077*F87-0.17666*U102+0.187*F72+51.03301,0.31457*F87-0.10969*F72+10.8336)</f>
        <v>10.833600000000001</v>
      </c>
    </row>
    <row r="82" spans="3:61" ht="15" x14ac:dyDescent="0.2">
      <c r="C82" s="240"/>
      <c r="D82" s="486" t="s">
        <v>117</v>
      </c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221"/>
      <c r="P82" s="278"/>
    </row>
    <row r="83" spans="3:61" ht="15" x14ac:dyDescent="0.2">
      <c r="C83" s="240"/>
      <c r="D83" s="221"/>
      <c r="E83" s="221"/>
      <c r="F83" s="221"/>
      <c r="G83" s="221"/>
      <c r="H83" s="221"/>
      <c r="I83" s="221"/>
      <c r="J83" s="306" t="s">
        <v>57</v>
      </c>
      <c r="K83" s="306"/>
      <c r="L83" s="306" t="s">
        <v>58</v>
      </c>
      <c r="M83" s="221"/>
      <c r="N83" s="221"/>
      <c r="O83" s="221"/>
      <c r="P83" s="278"/>
      <c r="S83" t="s">
        <v>257</v>
      </c>
    </row>
    <row r="84" spans="3:61" ht="15" x14ac:dyDescent="0.2">
      <c r="C84" s="240"/>
      <c r="D84" s="377" t="s">
        <v>226</v>
      </c>
      <c r="E84" s="377"/>
      <c r="F84" s="313"/>
      <c r="G84" s="221"/>
      <c r="H84" s="377" t="s">
        <v>207</v>
      </c>
      <c r="I84" s="377"/>
      <c r="J84" s="313"/>
      <c r="K84" s="221"/>
      <c r="L84" s="313"/>
      <c r="M84" s="221"/>
      <c r="N84" s="221"/>
      <c r="O84" s="221"/>
      <c r="P84" s="278"/>
    </row>
    <row r="85" spans="3:61" ht="15" x14ac:dyDescent="0.2">
      <c r="C85" s="240"/>
      <c r="D85" s="377" t="s">
        <v>227</v>
      </c>
      <c r="E85" s="377"/>
      <c r="F85" s="313"/>
      <c r="G85" s="221"/>
      <c r="H85" s="377" t="s">
        <v>208</v>
      </c>
      <c r="I85" s="377"/>
      <c r="J85" s="313"/>
      <c r="K85" s="221"/>
      <c r="L85" s="313"/>
      <c r="M85" s="221"/>
      <c r="N85" s="221"/>
      <c r="O85" s="221"/>
      <c r="P85" s="278"/>
      <c r="S85">
        <f>J84-L84</f>
        <v>0</v>
      </c>
      <c r="AA85" t="e">
        <f>INDEX(E75,MATCH(AB:AB,X:AA,0))</f>
        <v>#N/A</v>
      </c>
    </row>
    <row r="86" spans="3:61" ht="15" x14ac:dyDescent="0.2">
      <c r="C86" s="240"/>
      <c r="D86" s="377" t="s">
        <v>205</v>
      </c>
      <c r="E86" s="377"/>
      <c r="F86" s="313"/>
      <c r="G86" s="221"/>
      <c r="H86" s="377" t="s">
        <v>209</v>
      </c>
      <c r="I86" s="377"/>
      <c r="J86" s="313"/>
      <c r="K86" s="221"/>
      <c r="L86" s="313"/>
      <c r="M86" s="221"/>
      <c r="N86" s="221"/>
      <c r="O86" s="221"/>
      <c r="P86" s="278"/>
      <c r="S86">
        <f>J85-L85</f>
        <v>0</v>
      </c>
      <c r="BG86" s="82">
        <v>3</v>
      </c>
      <c r="BH86" s="82">
        <v>2</v>
      </c>
      <c r="BI86" s="82">
        <v>2</v>
      </c>
    </row>
    <row r="87" spans="3:61" ht="15" x14ac:dyDescent="0.2">
      <c r="C87" s="240"/>
      <c r="D87" s="377" t="s">
        <v>377</v>
      </c>
      <c r="E87" s="377"/>
      <c r="F87" s="313"/>
      <c r="G87" s="221"/>
      <c r="H87" s="377" t="s">
        <v>210</v>
      </c>
      <c r="I87" s="377"/>
      <c r="J87" s="313"/>
      <c r="K87" s="221"/>
      <c r="L87" s="313"/>
      <c r="M87" s="221"/>
      <c r="N87" s="221"/>
      <c r="O87" s="221"/>
      <c r="P87" s="278"/>
      <c r="S87">
        <f>J86-L86</f>
        <v>0</v>
      </c>
    </row>
    <row r="88" spans="3:61" ht="15" x14ac:dyDescent="0.2">
      <c r="C88" s="240"/>
      <c r="D88" s="377" t="s">
        <v>206</v>
      </c>
      <c r="E88" s="377"/>
      <c r="F88" s="313"/>
      <c r="G88" s="221"/>
      <c r="H88" s="487"/>
      <c r="I88" s="487"/>
      <c r="J88" s="313"/>
      <c r="K88" s="221"/>
      <c r="L88" s="313"/>
      <c r="M88" s="221"/>
      <c r="N88" s="221"/>
      <c r="O88" s="221"/>
      <c r="P88" s="278"/>
      <c r="S88">
        <f>J87-L87</f>
        <v>0</v>
      </c>
      <c r="U88" s="6" t="s">
        <v>26</v>
      </c>
      <c r="V88" s="6" t="s">
        <v>27</v>
      </c>
      <c r="X88">
        <v>1</v>
      </c>
      <c r="Y88" s="426" t="s">
        <v>258</v>
      </c>
      <c r="Z88" s="426"/>
      <c r="AA88" s="426"/>
      <c r="AB88" s="21">
        <f>S78</f>
        <v>5.7830000000000004</v>
      </c>
    </row>
    <row r="89" spans="3:61" ht="15" x14ac:dyDescent="0.2">
      <c r="C89" s="240"/>
      <c r="D89" s="307"/>
      <c r="E89" s="307"/>
      <c r="F89" s="256"/>
      <c r="G89" s="256"/>
      <c r="H89" s="256"/>
      <c r="I89" s="256"/>
      <c r="J89" s="256"/>
      <c r="K89" s="256"/>
      <c r="L89" s="256"/>
      <c r="M89" s="221"/>
      <c r="N89" s="221"/>
      <c r="O89" s="221"/>
      <c r="P89" s="278"/>
      <c r="U89" s="7"/>
      <c r="V89" s="7"/>
      <c r="X89">
        <v>2</v>
      </c>
      <c r="Y89" s="426" t="s">
        <v>263</v>
      </c>
      <c r="Z89" s="426"/>
      <c r="AA89" s="426"/>
      <c r="AB89" s="21" t="e">
        <f>EL26</f>
        <v>#VALUE!</v>
      </c>
    </row>
    <row r="90" spans="3:61" ht="15" x14ac:dyDescent="0.2">
      <c r="C90" s="240"/>
      <c r="D90" s="261"/>
      <c r="E90" s="261"/>
      <c r="F90" s="283"/>
      <c r="G90" s="283"/>
      <c r="H90" s="473"/>
      <c r="I90" s="473"/>
      <c r="J90" s="312"/>
      <c r="K90" s="256"/>
      <c r="L90" s="312"/>
      <c r="M90" s="221"/>
      <c r="N90" s="221"/>
      <c r="O90" s="221"/>
      <c r="P90" s="278"/>
      <c r="R90" s="310" t="s">
        <v>388</v>
      </c>
      <c r="S90">
        <f>IF(S85&lt;0,-S85,S85)</f>
        <v>0</v>
      </c>
      <c r="U90" s="7"/>
      <c r="V90" s="7"/>
      <c r="X90">
        <v>3</v>
      </c>
      <c r="Y90" s="426" t="s">
        <v>264</v>
      </c>
      <c r="Z90" s="426"/>
      <c r="AA90" s="426"/>
      <c r="AB90" s="21" t="e">
        <f>X78</f>
        <v>#VALUE!</v>
      </c>
    </row>
    <row r="91" spans="3:61" ht="15" x14ac:dyDescent="0.2">
      <c r="C91" s="240"/>
      <c r="D91" s="307" t="s">
        <v>62</v>
      </c>
      <c r="E91" s="430" t="str">
        <f>IF(F88="","-",F86/F88)</f>
        <v>-</v>
      </c>
      <c r="F91" s="488"/>
      <c r="G91" s="221"/>
      <c r="H91" s="307" t="s">
        <v>27</v>
      </c>
      <c r="I91" s="446" t="str">
        <f>IF(F88="","-",'Avaliação Física 5'!AY18)</f>
        <v>-</v>
      </c>
      <c r="J91" s="431"/>
      <c r="K91" s="221"/>
      <c r="L91" s="221"/>
      <c r="M91" s="221"/>
      <c r="N91" s="221"/>
      <c r="O91" s="221"/>
      <c r="P91" s="278"/>
      <c r="R91" s="310" t="s">
        <v>389</v>
      </c>
      <c r="S91">
        <f t="shared" ref="S91:S93" si="1">IF(S86&lt;0,-S86,S86)</f>
        <v>0</v>
      </c>
      <c r="U91" s="7">
        <v>0</v>
      </c>
      <c r="V91" s="7" t="s">
        <v>28</v>
      </c>
      <c r="X91">
        <v>4</v>
      </c>
      <c r="Y91" s="426" t="s">
        <v>265</v>
      </c>
      <c r="Z91" s="426"/>
      <c r="AA91" s="426"/>
      <c r="AB91" s="21" t="e">
        <f>Y43</f>
        <v>#NUM!</v>
      </c>
    </row>
    <row r="92" spans="3:61" ht="15" x14ac:dyDescent="0.2">
      <c r="C92" s="240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78"/>
      <c r="R92" s="310" t="s">
        <v>390</v>
      </c>
      <c r="S92">
        <f t="shared" si="1"/>
        <v>0</v>
      </c>
      <c r="U92" s="7">
        <v>16.100000000000001</v>
      </c>
      <c r="V92" s="7" t="s">
        <v>29</v>
      </c>
      <c r="X92">
        <v>5</v>
      </c>
      <c r="Y92" s="477" t="s">
        <v>374</v>
      </c>
      <c r="Z92" s="477"/>
      <c r="AA92" s="477"/>
      <c r="AB92">
        <f>T120</f>
        <v>1</v>
      </c>
      <c r="BB92">
        <v>1</v>
      </c>
      <c r="BC92" s="126" t="s">
        <v>172</v>
      </c>
      <c r="BD92" s="126"/>
      <c r="BE92" s="126"/>
    </row>
    <row r="93" spans="3:61" ht="15" x14ac:dyDescent="0.2">
      <c r="C93" s="240"/>
      <c r="D93" s="486" t="s">
        <v>212</v>
      </c>
      <c r="E93" s="486"/>
      <c r="F93" s="486"/>
      <c r="G93" s="486"/>
      <c r="H93" s="486"/>
      <c r="I93" s="486"/>
      <c r="J93" s="486"/>
      <c r="K93" s="486"/>
      <c r="L93" s="486"/>
      <c r="M93" s="221"/>
      <c r="N93" s="221"/>
      <c r="O93" s="221"/>
      <c r="P93" s="278"/>
      <c r="R93" s="310" t="s">
        <v>391</v>
      </c>
      <c r="S93">
        <f t="shared" si="1"/>
        <v>0</v>
      </c>
      <c r="U93" s="7">
        <v>17</v>
      </c>
      <c r="V93" s="7" t="s">
        <v>30</v>
      </c>
      <c r="X93">
        <v>6</v>
      </c>
      <c r="Y93" s="426" t="s">
        <v>375</v>
      </c>
      <c r="Z93" s="426"/>
      <c r="AA93" s="426"/>
      <c r="AB93" s="21" t="e">
        <f>Y80</f>
        <v>#VALUE!</v>
      </c>
      <c r="BB93">
        <v>2</v>
      </c>
      <c r="BC93" s="126" t="s">
        <v>173</v>
      </c>
      <c r="BD93" s="126"/>
      <c r="BE93" s="126"/>
      <c r="BH93" s="308" t="str">
        <f>IF(AND(BG86&lt;BH86,BH86&lt;BI86),"ECTOMORFO-ENDOMORFO","")</f>
        <v/>
      </c>
    </row>
    <row r="94" spans="3:61" ht="15" x14ac:dyDescent="0.2">
      <c r="C94" s="240"/>
      <c r="D94" s="377" t="s">
        <v>151</v>
      </c>
      <c r="E94" s="377"/>
      <c r="F94" s="377"/>
      <c r="G94" s="472"/>
      <c r="H94" s="472"/>
      <c r="I94" s="221"/>
      <c r="J94" s="307" t="s">
        <v>154</v>
      </c>
      <c r="K94" s="472"/>
      <c r="L94" s="472"/>
      <c r="M94" s="221"/>
      <c r="N94" s="221"/>
      <c r="O94" s="221"/>
      <c r="P94" s="278"/>
      <c r="U94" s="7">
        <v>18.5</v>
      </c>
      <c r="V94" s="7" t="s">
        <v>31</v>
      </c>
      <c r="X94">
        <v>7</v>
      </c>
      <c r="Y94" s="426" t="s">
        <v>376</v>
      </c>
      <c r="Z94" s="426"/>
      <c r="AA94" s="426"/>
      <c r="AB94">
        <f>Y81</f>
        <v>10.833600000000001</v>
      </c>
      <c r="BB94">
        <v>3</v>
      </c>
      <c r="BC94" s="126" t="s">
        <v>174</v>
      </c>
      <c r="BD94" s="126"/>
      <c r="BE94" s="126"/>
    </row>
    <row r="95" spans="3:61" ht="15" x14ac:dyDescent="0.2">
      <c r="C95" s="240"/>
      <c r="D95" s="377" t="s">
        <v>242</v>
      </c>
      <c r="E95" s="377"/>
      <c r="F95" s="377"/>
      <c r="G95" s="472"/>
      <c r="H95" s="472"/>
      <c r="I95" s="221"/>
      <c r="J95" s="221"/>
      <c r="K95" s="221"/>
      <c r="L95" s="221"/>
      <c r="M95" s="221"/>
      <c r="N95" s="221"/>
      <c r="O95" s="221"/>
      <c r="P95" s="278"/>
      <c r="U95" s="7">
        <v>24.5</v>
      </c>
      <c r="V95" s="7" t="s">
        <v>32</v>
      </c>
      <c r="X95">
        <v>8</v>
      </c>
      <c r="Y95" s="426" t="s">
        <v>370</v>
      </c>
      <c r="Z95" s="426"/>
      <c r="AA95" s="426"/>
      <c r="AB95" s="21" t="e">
        <f>AA177</f>
        <v>#NUM!</v>
      </c>
      <c r="BB95">
        <v>4</v>
      </c>
      <c r="BC95" s="126" t="s">
        <v>175</v>
      </c>
      <c r="BD95" s="126"/>
      <c r="BE95" s="126"/>
      <c r="BH95" s="79" t="str">
        <f>IF(AND(BG86&gt;BH86,BH86=BI86),"Endomorfo","-")</f>
        <v>Endomorfo</v>
      </c>
    </row>
    <row r="96" spans="3:61" ht="15" x14ac:dyDescent="0.2">
      <c r="C96" s="240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78"/>
      <c r="S96" t="str">
        <f>L101</f>
        <v>(informe peso e altura)</v>
      </c>
      <c r="U96" s="7">
        <v>30</v>
      </c>
      <c r="V96" s="7" t="s">
        <v>33</v>
      </c>
      <c r="X96">
        <v>9</v>
      </c>
      <c r="Y96" s="426" t="s">
        <v>386</v>
      </c>
      <c r="Z96" s="426"/>
      <c r="AA96" s="426"/>
      <c r="AB96" s="21" t="e">
        <f>Y52</f>
        <v>#VALUE!</v>
      </c>
      <c r="BB96">
        <v>5</v>
      </c>
      <c r="BC96" s="126" t="s">
        <v>176</v>
      </c>
      <c r="BD96" s="126"/>
      <c r="BE96" s="126"/>
    </row>
    <row r="97" spans="3:61" ht="15" x14ac:dyDescent="0.2">
      <c r="C97" s="240"/>
      <c r="D97" s="486" t="s">
        <v>25</v>
      </c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221"/>
      <c r="P97" s="278"/>
      <c r="U97" s="7">
        <v>35</v>
      </c>
      <c r="V97" s="7" t="s">
        <v>34</v>
      </c>
      <c r="BB97">
        <v>6</v>
      </c>
      <c r="BC97" s="126" t="s">
        <v>177</v>
      </c>
      <c r="BD97" s="126"/>
      <c r="BE97" s="126"/>
    </row>
    <row r="98" spans="3:61" ht="15" x14ac:dyDescent="0.2">
      <c r="C98" s="240"/>
      <c r="D98" s="462" t="s">
        <v>120</v>
      </c>
      <c r="E98" s="462"/>
      <c r="F98" s="251" t="str">
        <f>IF(E75="","-",VLOOKUP($E$75,tbGC691215[[nome]:[resultado]],2,FALSE))</f>
        <v>-</v>
      </c>
      <c r="G98" s="221"/>
      <c r="H98" s="462" t="s">
        <v>364</v>
      </c>
      <c r="I98" s="462"/>
      <c r="J98" s="252" t="str">
        <f>IF(F72="","-",IF(L9="feminino",F72*0.209,F72*0.241))</f>
        <v>-</v>
      </c>
      <c r="K98" s="221"/>
      <c r="L98" s="355" t="s">
        <v>366</v>
      </c>
      <c r="M98" s="355"/>
      <c r="N98" s="355"/>
      <c r="O98" s="221"/>
      <c r="P98" s="278"/>
      <c r="U98" s="7"/>
      <c r="V98" s="7"/>
      <c r="BB98">
        <v>7</v>
      </c>
      <c r="BC98" s="126" t="s">
        <v>178</v>
      </c>
      <c r="BD98" s="126"/>
      <c r="BE98" s="126"/>
      <c r="BI98" s="71"/>
    </row>
    <row r="99" spans="3:61" ht="15" x14ac:dyDescent="0.2">
      <c r="C99" s="240"/>
      <c r="D99" s="462" t="s">
        <v>361</v>
      </c>
      <c r="E99" s="462"/>
      <c r="F99" s="252" t="str">
        <f>IF(F72=0,"-",(F72-F100))</f>
        <v>-</v>
      </c>
      <c r="G99" s="221"/>
      <c r="H99" s="462" t="s">
        <v>365</v>
      </c>
      <c r="I99" s="462"/>
      <c r="J99" s="252" t="str">
        <f>IF(J72="","-",3.02*(J72^2*T113*T114*400)^0.712)</f>
        <v>-</v>
      </c>
      <c r="K99" s="221"/>
      <c r="L99" s="499" t="str">
        <f>IF(F98="-","-",AU258)</f>
        <v>-</v>
      </c>
      <c r="M99" s="500"/>
      <c r="N99" s="501"/>
      <c r="O99" s="221"/>
      <c r="P99" s="278"/>
      <c r="U99" s="7">
        <v>40</v>
      </c>
      <c r="V99" s="7" t="s">
        <v>35</v>
      </c>
      <c r="BB99">
        <v>8</v>
      </c>
      <c r="BC99" s="126" t="s">
        <v>179</v>
      </c>
      <c r="BD99" s="126"/>
      <c r="BE99" s="126"/>
    </row>
    <row r="100" spans="3:61" ht="15" x14ac:dyDescent="0.2">
      <c r="C100" s="359" t="s">
        <v>362</v>
      </c>
      <c r="D100" s="360"/>
      <c r="E100" s="361"/>
      <c r="F100" s="252" t="str">
        <f>IF(F72=0,"-",(F72-U107))</f>
        <v>-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78"/>
      <c r="U100" s="7"/>
      <c r="V100" s="7"/>
      <c r="BB100">
        <v>9</v>
      </c>
      <c r="BC100" s="126" t="s">
        <v>180</v>
      </c>
      <c r="BD100" s="126"/>
      <c r="BE100" s="126"/>
    </row>
    <row r="101" spans="3:61" ht="15" x14ac:dyDescent="0.2">
      <c r="C101" s="240"/>
      <c r="D101" s="462" t="s">
        <v>363</v>
      </c>
      <c r="E101" s="462"/>
      <c r="F101" s="252" t="str">
        <f>IF(F72="","-",F72-(F99+J98+J99))</f>
        <v>-</v>
      </c>
      <c r="G101" s="253"/>
      <c r="H101" s="462" t="s">
        <v>26</v>
      </c>
      <c r="I101" s="462"/>
      <c r="J101" s="254" t="str">
        <f>IF(J72="","-",'Avaliação Física 5'!DZ11)</f>
        <v>-</v>
      </c>
      <c r="K101" s="221"/>
      <c r="L101" s="461" t="str">
        <f>IF(J72&gt;0,VLOOKUP(J101,AUX_IMC_Classificação3471013[],2,TRUE),"(informe peso e altura)")</f>
        <v>(informe peso e altura)</v>
      </c>
      <c r="M101" s="461"/>
      <c r="N101" s="461"/>
      <c r="O101" s="221"/>
      <c r="P101" s="278"/>
      <c r="BB101">
        <v>10</v>
      </c>
      <c r="BC101" s="126" t="s">
        <v>181</v>
      </c>
      <c r="BD101" s="126"/>
      <c r="BE101" s="126"/>
    </row>
    <row r="102" spans="3:61" ht="15" x14ac:dyDescent="0.2">
      <c r="C102" s="240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78"/>
      <c r="T102" t="s">
        <v>276</v>
      </c>
      <c r="U102">
        <f>J72*100</f>
        <v>0</v>
      </c>
      <c r="BB102">
        <v>11</v>
      </c>
      <c r="BC102" s="126" t="s">
        <v>182</v>
      </c>
      <c r="BD102" s="126"/>
      <c r="BE102" s="126"/>
    </row>
    <row r="103" spans="3:61" ht="15" x14ac:dyDescent="0.2">
      <c r="C103" s="240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78"/>
      <c r="BB103">
        <v>12</v>
      </c>
      <c r="BC103" s="126" t="s">
        <v>183</v>
      </c>
      <c r="BD103" s="126"/>
      <c r="BE103" s="126"/>
    </row>
    <row r="104" spans="3:61" ht="15" x14ac:dyDescent="0.2">
      <c r="C104" s="240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78"/>
      <c r="BB104">
        <v>13</v>
      </c>
      <c r="BC104" s="126" t="s">
        <v>184</v>
      </c>
      <c r="BD104" s="126"/>
      <c r="BE104" s="126"/>
    </row>
    <row r="105" spans="3:61" ht="15" x14ac:dyDescent="0.2">
      <c r="C105" s="240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78"/>
    </row>
    <row r="106" spans="3:61" ht="15" x14ac:dyDescent="0.2">
      <c r="C106" s="240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78"/>
      <c r="X106" t="s">
        <v>271</v>
      </c>
      <c r="Y106" t="e">
        <f>1.17136-((LOG10(Y35))*0.06706)</f>
        <v>#NUM!</v>
      </c>
    </row>
    <row r="107" spans="3:61" ht="15" x14ac:dyDescent="0.2">
      <c r="C107" s="240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78"/>
      <c r="U107" s="179" t="e">
        <f>F72*F98%</f>
        <v>#VALUE!</v>
      </c>
    </row>
    <row r="108" spans="3:61" ht="15" x14ac:dyDescent="0.2">
      <c r="C108" s="240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78"/>
      <c r="X108" t="s">
        <v>272</v>
      </c>
      <c r="Y108" t="e">
        <f>1.1665-((LOG10(Y38))*0.07063)</f>
        <v>#NUM!</v>
      </c>
    </row>
    <row r="109" spans="3:61" ht="15" x14ac:dyDescent="0.2">
      <c r="C109" s="240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78"/>
    </row>
    <row r="110" spans="3:61" ht="15" x14ac:dyDescent="0.2">
      <c r="C110" s="240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78"/>
    </row>
    <row r="111" spans="3:61" ht="15" x14ac:dyDescent="0.2">
      <c r="C111" s="240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78"/>
    </row>
    <row r="112" spans="3:61" ht="15" x14ac:dyDescent="0.2">
      <c r="C112" s="240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78"/>
    </row>
    <row r="113" spans="3:28" ht="15" x14ac:dyDescent="0.2">
      <c r="C113" s="240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78"/>
      <c r="S113">
        <f>K94</f>
        <v>0</v>
      </c>
      <c r="T113">
        <f>S113/100</f>
        <v>0</v>
      </c>
    </row>
    <row r="114" spans="3:28" ht="15" x14ac:dyDescent="0.2">
      <c r="C114" s="241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80"/>
      <c r="S114">
        <f>G95</f>
        <v>0</v>
      </c>
      <c r="T114">
        <f>S114/100</f>
        <v>0</v>
      </c>
    </row>
    <row r="115" spans="3:28" ht="15" x14ac:dyDescent="0.2"/>
    <row r="116" spans="3:28" ht="15" x14ac:dyDescent="0.2">
      <c r="C116" s="362" t="s">
        <v>218</v>
      </c>
      <c r="D116" s="362"/>
      <c r="E116" s="362"/>
      <c r="F116" s="362"/>
      <c r="G116" s="362"/>
      <c r="H116" s="362"/>
      <c r="I116" s="362"/>
      <c r="J116" s="362" t="s">
        <v>253</v>
      </c>
      <c r="K116" s="362"/>
      <c r="L116" s="362"/>
      <c r="M116" s="362"/>
      <c r="N116" s="362"/>
      <c r="O116" s="362"/>
      <c r="P116" s="362"/>
      <c r="AB116" t="s">
        <v>240</v>
      </c>
    </row>
    <row r="117" spans="3:28" ht="4.9000000000000004" customHeight="1" x14ac:dyDescent="0.3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</row>
    <row r="118" spans="3:28" ht="15" x14ac:dyDescent="0.2">
      <c r="C118" s="238"/>
      <c r="D118" s="405" t="s">
        <v>220</v>
      </c>
      <c r="E118" s="405"/>
      <c r="F118" s="239" t="str">
        <f>IF(L84="","-",S90)</f>
        <v>-</v>
      </c>
      <c r="G118" s="463" t="str">
        <f>IF(F118&gt;=1.5,"Diferença significativa",IF(F118&lt;=-1.5,"Diferença significativa","Não Significativa"))</f>
        <v>Diferença significativa</v>
      </c>
      <c r="H118" s="464"/>
      <c r="I118" s="233"/>
      <c r="J118" s="358" t="s">
        <v>380</v>
      </c>
      <c r="K118" s="358"/>
      <c r="L118" s="358"/>
      <c r="M118" s="358"/>
      <c r="N118" s="358"/>
      <c r="O118" s="358"/>
      <c r="P118" s="221"/>
      <c r="W118" s="116">
        <v>3</v>
      </c>
      <c r="X118" s="117" t="s">
        <v>233</v>
      </c>
      <c r="Y118" s="118"/>
      <c r="Z118" s="118"/>
      <c r="AB118" s="21" t="e">
        <f>(J119*(170.18/(100*J72))-24.78)/4.31</f>
        <v>#DIV/0!</v>
      </c>
    </row>
    <row r="119" spans="3:28" ht="15" x14ac:dyDescent="0.2">
      <c r="C119" s="240"/>
      <c r="D119" s="406" t="s">
        <v>219</v>
      </c>
      <c r="E119" s="406"/>
      <c r="F119" s="234" t="str">
        <f>IF(L85="","-",S91)</f>
        <v>-</v>
      </c>
      <c r="G119" s="465" t="str">
        <f>IF(F119&gt;=1.5,"Diferença significativa",IF(F119&lt;=-1.5,"Diferença significativa","Não Significativa"))</f>
        <v>Diferença significativa</v>
      </c>
      <c r="H119" s="466"/>
      <c r="I119" s="233"/>
      <c r="J119" s="236">
        <f>J84-(3.1415*F78/10)</f>
        <v>0</v>
      </c>
      <c r="K119" s="235">
        <f t="shared" ref="K119:K121" si="2">IF(G119="Não significativa",0,1)</f>
        <v>1</v>
      </c>
      <c r="L119" s="469" t="str">
        <f>IF(J84=0,"-",IF(J84&gt;0,IF(AB118&gt;3,X118,IF(AB118&gt;2,X119,IF(AB118&gt;1,X120,IF(AB118&gt;-1,X121,IF(AB118&gt;-2,X122,IF(AB118&gt;-3,X123,IF(AB118&lt;-3,X124)))))))))</f>
        <v>-</v>
      </c>
      <c r="M119" s="470"/>
      <c r="N119" s="470"/>
      <c r="O119" s="471"/>
      <c r="P119" s="221"/>
      <c r="T119" s="497" t="s">
        <v>369</v>
      </c>
      <c r="U119" s="497"/>
      <c r="W119" s="116">
        <v>2</v>
      </c>
      <c r="X119" s="117" t="s">
        <v>234</v>
      </c>
      <c r="Y119" s="118"/>
      <c r="Z119" s="118"/>
    </row>
    <row r="120" spans="3:28" ht="15.75" x14ac:dyDescent="0.2">
      <c r="C120" s="240"/>
      <c r="D120" s="406" t="s">
        <v>221</v>
      </c>
      <c r="E120" s="406"/>
      <c r="F120" s="234" t="str">
        <f>IF(L86="","-",S92)</f>
        <v>-</v>
      </c>
      <c r="G120" s="465" t="str">
        <f>IF(F120&gt;=1.5,"Diferença significativa",IF(F120&lt;=-1.5,"Diferença significativa","Não Significativa"))</f>
        <v>Diferença significativa</v>
      </c>
      <c r="H120" s="466"/>
      <c r="I120" s="233"/>
      <c r="J120" s="360" t="s">
        <v>254</v>
      </c>
      <c r="K120" s="360"/>
      <c r="L120" s="360"/>
      <c r="M120" s="360"/>
      <c r="N120" s="360"/>
      <c r="O120" s="360"/>
      <c r="P120" s="360"/>
      <c r="T120">
        <f>IF(L9="Feminino",0.61*(F78+N79)+5.1,0.735*(F78+N79)+1)</f>
        <v>1</v>
      </c>
      <c r="W120" s="116">
        <v>1</v>
      </c>
      <c r="X120" s="117" t="s">
        <v>235</v>
      </c>
      <c r="Y120" s="118"/>
      <c r="Z120" s="118"/>
      <c r="AB120" t="s">
        <v>241</v>
      </c>
    </row>
    <row r="121" spans="3:28" ht="15" x14ac:dyDescent="0.2">
      <c r="C121" s="241"/>
      <c r="D121" s="407" t="s">
        <v>222</v>
      </c>
      <c r="E121" s="407"/>
      <c r="F121" s="242" t="str">
        <f>IF(L87="","-",S93)</f>
        <v>-</v>
      </c>
      <c r="G121" s="467" t="str">
        <f>IF(F121&gt;=1.5,"Diferença significativa",IF(F121&lt;=-1.5,"Diferença significativa","Não Significativa"))</f>
        <v>Diferença significativa</v>
      </c>
      <c r="H121" s="468"/>
      <c r="I121" s="233"/>
      <c r="J121" s="237">
        <f>0.649*((J86-3.1415*(N78/10))^2-(0.3-G95)^2)</f>
        <v>-5.8409999999999997E-2</v>
      </c>
      <c r="K121" s="235">
        <f t="shared" si="2"/>
        <v>1</v>
      </c>
      <c r="L121" s="423" t="str">
        <f>IF(J86=0,"-",IF(J86&gt;0,IF(AB121&gt;3,X118,IF(AB121&gt;2,X119,IF(AB121&gt;1,X120,IF(AB121&gt;-1,X121,IF(AB121&gt;-2,X122,IF(AB121&gt;-3,X123,IF(AB121&lt;-3,X124)))))))))</f>
        <v>-</v>
      </c>
      <c r="M121" s="424"/>
      <c r="N121" s="424"/>
      <c r="O121" s="425"/>
      <c r="P121" s="221"/>
      <c r="W121" s="116">
        <v>0</v>
      </c>
      <c r="X121" s="117" t="s">
        <v>236</v>
      </c>
      <c r="Y121" s="118"/>
      <c r="Z121" s="118"/>
      <c r="AB121" s="21" t="e">
        <f>(J121*(170.18/(100*J72))-1242.6)/210.9</f>
        <v>#DIV/0!</v>
      </c>
    </row>
    <row r="122" spans="3:28" ht="15" x14ac:dyDescent="0.2">
      <c r="W122" s="116">
        <v>-1</v>
      </c>
      <c r="X122" s="117" t="s">
        <v>237</v>
      </c>
      <c r="Y122" s="118"/>
      <c r="Z122" s="118"/>
    </row>
    <row r="123" spans="3:28" ht="14.45" hidden="1" customHeight="1" x14ac:dyDescent="0.2">
      <c r="C123" s="92"/>
      <c r="W123" s="116">
        <v>-2</v>
      </c>
      <c r="X123" s="117" t="s">
        <v>238</v>
      </c>
      <c r="Y123" s="118"/>
      <c r="Z123" s="118"/>
    </row>
    <row r="124" spans="3:28" ht="14.45" hidden="1" customHeight="1" x14ac:dyDescent="0.2">
      <c r="F124" s="314"/>
      <c r="H124" s="314"/>
      <c r="W124" s="116">
        <v>-3</v>
      </c>
      <c r="X124" s="117" t="s">
        <v>239</v>
      </c>
      <c r="Y124" s="118"/>
      <c r="Z124" s="118"/>
    </row>
    <row r="125" spans="3:28" ht="14.45" hidden="1" customHeight="1" x14ac:dyDescent="0.2">
      <c r="D125" s="426"/>
      <c r="E125" s="426"/>
      <c r="F125" s="314"/>
      <c r="H125" s="314"/>
      <c r="J125" s="426"/>
      <c r="K125" s="426"/>
      <c r="M125" s="457"/>
      <c r="N125" s="457"/>
      <c r="S125" s="314"/>
    </row>
    <row r="126" spans="3:28" ht="14.45" hidden="1" customHeight="1" x14ac:dyDescent="0.2">
      <c r="T126" s="426"/>
      <c r="U126" s="426"/>
      <c r="V126" s="426"/>
    </row>
    <row r="127" spans="3:28" ht="14.45" hidden="1" customHeight="1" x14ac:dyDescent="0.2"/>
    <row r="128" spans="3:28" ht="15" hidden="1" customHeight="1" x14ac:dyDescent="0.2">
      <c r="T128" s="310"/>
      <c r="U128" s="310"/>
      <c r="V128" s="310"/>
      <c r="W128" s="119"/>
      <c r="X128" s="119"/>
    </row>
    <row r="129" spans="19:24" ht="15" hidden="1" customHeight="1" x14ac:dyDescent="0.2">
      <c r="T129" s="310"/>
      <c r="U129" s="310"/>
      <c r="V129" s="310"/>
      <c r="W129" s="119"/>
      <c r="X129" s="119"/>
    </row>
    <row r="130" spans="19:24" ht="15" hidden="1" customHeight="1" x14ac:dyDescent="0.2">
      <c r="S130" s="314"/>
      <c r="T130" s="310"/>
      <c r="U130" s="310"/>
      <c r="V130" s="310"/>
      <c r="W130" s="119"/>
      <c r="X130" s="119"/>
    </row>
    <row r="131" spans="19:24" ht="14.45" hidden="1" customHeight="1" x14ac:dyDescent="0.2">
      <c r="T131" s="310"/>
      <c r="U131" s="310"/>
      <c r="V131" s="310"/>
      <c r="W131" s="119"/>
      <c r="X131" s="119"/>
    </row>
    <row r="132" spans="19:24" ht="14.45" hidden="1" customHeight="1" x14ac:dyDescent="0.2">
      <c r="T132" s="310"/>
      <c r="U132" s="310"/>
      <c r="V132" s="310"/>
      <c r="W132" s="119"/>
      <c r="X132" s="119"/>
    </row>
    <row r="133" spans="19:24" ht="14.45" hidden="1" customHeight="1" x14ac:dyDescent="0.2">
      <c r="T133" s="310"/>
      <c r="U133" s="310"/>
      <c r="V133" s="310"/>
      <c r="W133" s="119"/>
      <c r="X133" s="119"/>
    </row>
    <row r="134" spans="19:24" ht="14.45" hidden="1" customHeight="1" x14ac:dyDescent="0.2">
      <c r="S134" s="314"/>
      <c r="T134" s="310"/>
      <c r="U134" s="310"/>
      <c r="V134" s="310"/>
      <c r="W134" s="119"/>
      <c r="X134" s="119"/>
    </row>
    <row r="135" spans="19:24" ht="14.45" hidden="1" customHeight="1" x14ac:dyDescent="0.2">
      <c r="T135" s="310"/>
      <c r="U135" s="310"/>
      <c r="V135" s="310"/>
      <c r="W135" s="119"/>
      <c r="X135" s="119"/>
    </row>
    <row r="136" spans="19:24" ht="14.45" hidden="1" customHeight="1" x14ac:dyDescent="0.2">
      <c r="S136" s="73"/>
      <c r="T136" s="310"/>
      <c r="U136" s="310"/>
      <c r="V136" s="310"/>
      <c r="W136" s="119"/>
      <c r="X136" s="119"/>
    </row>
    <row r="137" spans="19:24" ht="15" hidden="1" customHeight="1" x14ac:dyDescent="0.2">
      <c r="T137" s="310"/>
      <c r="U137" s="310"/>
      <c r="V137" s="310"/>
      <c r="W137" s="119"/>
      <c r="X137" s="119"/>
    </row>
    <row r="138" spans="19:24" ht="15" hidden="1" x14ac:dyDescent="0.2">
      <c r="W138" s="120"/>
      <c r="X138" s="120"/>
    </row>
    <row r="139" spans="19:24" ht="15" hidden="1" x14ac:dyDescent="0.2"/>
    <row r="140" spans="19:24" ht="15" hidden="1" x14ac:dyDescent="0.2"/>
    <row r="141" spans="19:24" ht="15" hidden="1" x14ac:dyDescent="0.2"/>
    <row r="142" spans="19:24" ht="15" hidden="1" x14ac:dyDescent="0.2"/>
    <row r="143" spans="19:24" ht="15" hidden="1" x14ac:dyDescent="0.2"/>
    <row r="144" spans="19:24" ht="15" hidden="1" x14ac:dyDescent="0.2"/>
    <row r="145" spans="3:28" ht="15" hidden="1" x14ac:dyDescent="0.2"/>
    <row r="146" spans="3:28" ht="15" hidden="1" x14ac:dyDescent="0.2"/>
    <row r="147" spans="3:28" ht="6" hidden="1" customHeight="1" x14ac:dyDescent="0.2"/>
    <row r="148" spans="3:28" ht="14.45" customHeight="1" x14ac:dyDescent="0.3">
      <c r="C148" s="375" t="s">
        <v>211</v>
      </c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X148" s="314" t="s">
        <v>273</v>
      </c>
      <c r="Y148" s="126" t="s">
        <v>274</v>
      </c>
      <c r="Z148" t="s">
        <v>138</v>
      </c>
      <c r="AA148" s="126"/>
    </row>
    <row r="149" spans="3:28" ht="14.45" customHeight="1" x14ac:dyDescent="0.2">
      <c r="C149" s="240"/>
      <c r="D149" s="221"/>
      <c r="E149" s="221"/>
      <c r="F149" s="221"/>
      <c r="G149" s="221"/>
      <c r="H149" s="221"/>
      <c r="I149" s="278"/>
      <c r="J149" s="484" t="s">
        <v>252</v>
      </c>
      <c r="K149" s="485"/>
      <c r="L149" s="485"/>
      <c r="M149" s="485"/>
      <c r="N149" s="485"/>
      <c r="O149" s="485"/>
      <c r="P149" s="485"/>
      <c r="X149">
        <v>1</v>
      </c>
      <c r="Y149" s="126" t="s">
        <v>258</v>
      </c>
      <c r="Z149" s="21">
        <f t="shared" ref="Z149:Z156" si="3">AB88</f>
        <v>5.7830000000000004</v>
      </c>
      <c r="AA149" s="126"/>
    </row>
    <row r="150" spans="3:28" ht="15" x14ac:dyDescent="0.2">
      <c r="C150" s="240"/>
      <c r="D150" s="221"/>
      <c r="E150" s="221"/>
      <c r="F150" s="355" t="str">
        <f>IF($G$95="","",'Avaliação Física 5'!AO30)</f>
        <v/>
      </c>
      <c r="G150" s="355"/>
      <c r="H150" s="355"/>
      <c r="I150" s="278"/>
      <c r="J150" s="484"/>
      <c r="K150" s="485"/>
      <c r="L150" s="485"/>
      <c r="M150" s="485"/>
      <c r="N150" s="485"/>
      <c r="O150" s="485"/>
      <c r="P150" s="485"/>
      <c r="S150" s="126"/>
      <c r="T150" s="126" t="s">
        <v>382</v>
      </c>
      <c r="X150">
        <v>2</v>
      </c>
      <c r="Y150" s="126" t="s">
        <v>372</v>
      </c>
      <c r="Z150" s="21" t="e">
        <f t="shared" si="3"/>
        <v>#VALUE!</v>
      </c>
      <c r="AA150" s="126"/>
    </row>
    <row r="151" spans="3:28" ht="15" x14ac:dyDescent="0.2">
      <c r="C151" s="240"/>
      <c r="D151" s="221"/>
      <c r="E151" s="221"/>
      <c r="F151" s="355" t="str">
        <f>IF($G$95="","",'Avaliação Física 5'!AO31)</f>
        <v/>
      </c>
      <c r="G151" s="355"/>
      <c r="H151" s="355"/>
      <c r="I151" s="278"/>
      <c r="J151" s="484"/>
      <c r="K151" s="485"/>
      <c r="L151" s="485"/>
      <c r="M151" s="485"/>
      <c r="N151" s="485"/>
      <c r="O151" s="485"/>
      <c r="P151" s="485"/>
      <c r="S151" s="75" t="s">
        <v>361</v>
      </c>
      <c r="T151" s="213" t="str">
        <f>F99</f>
        <v>-</v>
      </c>
      <c r="X151">
        <v>3</v>
      </c>
      <c r="Y151" s="126" t="s">
        <v>373</v>
      </c>
      <c r="Z151" s="21" t="e">
        <f t="shared" si="3"/>
        <v>#VALUE!</v>
      </c>
      <c r="AA151" s="126"/>
      <c r="AB151" t="e">
        <f>VLOOKUP($E$75,tbGC691215[nome],1,FALSE)</f>
        <v>#N/A</v>
      </c>
    </row>
    <row r="152" spans="3:28" ht="15" x14ac:dyDescent="0.2">
      <c r="C152" s="240"/>
      <c r="D152" s="221"/>
      <c r="E152" s="221"/>
      <c r="F152" s="355" t="str">
        <f>IF($G$95="","",'Avaliação Física 5'!AO32)</f>
        <v/>
      </c>
      <c r="G152" s="355"/>
      <c r="H152" s="355"/>
      <c r="I152" s="278"/>
      <c r="J152" s="484"/>
      <c r="K152" s="485"/>
      <c r="L152" s="485"/>
      <c r="M152" s="485"/>
      <c r="N152" s="485"/>
      <c r="O152" s="485"/>
      <c r="P152" s="485"/>
      <c r="S152" s="75" t="s">
        <v>363</v>
      </c>
      <c r="T152" s="213" t="str">
        <f t="shared" ref="T152" si="4">F101</f>
        <v>-</v>
      </c>
      <c r="X152">
        <v>4</v>
      </c>
      <c r="Y152" s="126" t="s">
        <v>265</v>
      </c>
      <c r="Z152" s="21" t="e">
        <f t="shared" si="3"/>
        <v>#NUM!</v>
      </c>
      <c r="AA152" s="126"/>
    </row>
    <row r="153" spans="3:28" ht="15" x14ac:dyDescent="0.2">
      <c r="C153" s="240"/>
      <c r="D153" s="221"/>
      <c r="E153" s="221"/>
      <c r="F153" s="355" t="str">
        <f>IF($G$95="","",'Avaliação Física 5'!AO33)</f>
        <v/>
      </c>
      <c r="G153" s="355"/>
      <c r="H153" s="355"/>
      <c r="I153" s="278"/>
      <c r="J153" s="484"/>
      <c r="K153" s="485"/>
      <c r="L153" s="485"/>
      <c r="M153" s="485"/>
      <c r="N153" s="485"/>
      <c r="O153" s="485"/>
      <c r="P153" s="485"/>
      <c r="S153" s="75" t="s">
        <v>364</v>
      </c>
      <c r="T153" s="213" t="str">
        <f>J98</f>
        <v>-</v>
      </c>
      <c r="X153">
        <v>5</v>
      </c>
      <c r="Y153" s="126" t="s">
        <v>374</v>
      </c>
      <c r="Z153" s="21">
        <f t="shared" si="3"/>
        <v>1</v>
      </c>
    </row>
    <row r="154" spans="3:28" ht="15" x14ac:dyDescent="0.2">
      <c r="C154" s="240"/>
      <c r="D154" s="221"/>
      <c r="E154" s="221"/>
      <c r="F154" s="355" t="str">
        <f>IF($G$95="","",'Avaliação Física 5'!AO34)</f>
        <v/>
      </c>
      <c r="G154" s="355"/>
      <c r="H154" s="355"/>
      <c r="I154" s="278"/>
      <c r="J154" s="484"/>
      <c r="K154" s="485"/>
      <c r="L154" s="485"/>
      <c r="M154" s="485"/>
      <c r="N154" s="485"/>
      <c r="O154" s="485"/>
      <c r="P154" s="485"/>
      <c r="S154" s="75" t="s">
        <v>365</v>
      </c>
      <c r="T154" s="213" t="str">
        <f>J99</f>
        <v>-</v>
      </c>
      <c r="X154">
        <v>6</v>
      </c>
      <c r="Y154" s="126" t="s">
        <v>375</v>
      </c>
      <c r="Z154" s="21" t="e">
        <f t="shared" si="3"/>
        <v>#VALUE!</v>
      </c>
    </row>
    <row r="155" spans="3:28" ht="15" x14ac:dyDescent="0.2">
      <c r="C155" s="240"/>
      <c r="D155" s="221"/>
      <c r="E155" s="221"/>
      <c r="F155" s="355" t="str">
        <f>IF($G$95="","",'Avaliação Física 5'!AO35)</f>
        <v/>
      </c>
      <c r="G155" s="355"/>
      <c r="H155" s="355"/>
      <c r="I155" s="278"/>
      <c r="J155" s="484"/>
      <c r="K155" s="485"/>
      <c r="L155" s="485"/>
      <c r="M155" s="485"/>
      <c r="N155" s="485"/>
      <c r="O155" s="485"/>
      <c r="P155" s="485"/>
      <c r="X155">
        <v>7</v>
      </c>
      <c r="Y155" s="126" t="s">
        <v>376</v>
      </c>
      <c r="Z155" s="21">
        <f t="shared" si="3"/>
        <v>10.833600000000001</v>
      </c>
    </row>
    <row r="156" spans="3:28" ht="15" x14ac:dyDescent="0.2">
      <c r="C156" s="240"/>
      <c r="D156" s="221"/>
      <c r="E156" s="221"/>
      <c r="F156" s="355" t="str">
        <f>IF($G$95="","",'Avaliação Física 5'!AO36)</f>
        <v/>
      </c>
      <c r="G156" s="355"/>
      <c r="H156" s="355"/>
      <c r="I156" s="278"/>
      <c r="J156" s="484"/>
      <c r="K156" s="485"/>
      <c r="L156" s="485"/>
      <c r="M156" s="485"/>
      <c r="N156" s="485"/>
      <c r="O156" s="485"/>
      <c r="P156" s="485"/>
      <c r="X156">
        <v>8</v>
      </c>
      <c r="Y156" s="126" t="s">
        <v>384</v>
      </c>
      <c r="Z156" s="21" t="e">
        <f t="shared" si="3"/>
        <v>#NUM!</v>
      </c>
      <c r="AB156" s="21" t="e">
        <f>VLOOKUP($E$75,tbGC691215[[nome]:[resultado]],2,FALSE)</f>
        <v>#N/A</v>
      </c>
    </row>
    <row r="157" spans="3:28" ht="15" x14ac:dyDescent="0.2">
      <c r="C157" s="240"/>
      <c r="D157" s="221"/>
      <c r="E157" s="221"/>
      <c r="F157" s="355" t="str">
        <f>IF($G$95="","",'Avaliação Física 5'!AO37)</f>
        <v/>
      </c>
      <c r="G157" s="355"/>
      <c r="H157" s="355"/>
      <c r="I157" s="278"/>
      <c r="J157" s="484"/>
      <c r="K157" s="485"/>
      <c r="L157" s="485"/>
      <c r="M157" s="485"/>
      <c r="N157" s="485"/>
      <c r="O157" s="485"/>
      <c r="P157" s="485"/>
      <c r="T157" t="s">
        <v>383</v>
      </c>
      <c r="X157">
        <v>9</v>
      </c>
      <c r="Y157" s="126" t="s">
        <v>387</v>
      </c>
      <c r="Z157" s="21" t="e">
        <f>AB96</f>
        <v>#VALUE!</v>
      </c>
    </row>
    <row r="158" spans="3:28" ht="15" x14ac:dyDescent="0.2">
      <c r="C158" s="240"/>
      <c r="D158" s="221"/>
      <c r="E158" s="221"/>
      <c r="F158" s="355" t="str">
        <f>IF($G$95="","",'Avaliação Física 5'!AO38)</f>
        <v/>
      </c>
      <c r="G158" s="355"/>
      <c r="H158" s="355"/>
      <c r="I158" s="278"/>
      <c r="J158" s="484"/>
      <c r="K158" s="485"/>
      <c r="L158" s="485"/>
      <c r="M158" s="485"/>
      <c r="N158" s="485"/>
      <c r="O158" s="485"/>
      <c r="P158" s="485"/>
      <c r="S158" s="75" t="s">
        <v>381</v>
      </c>
      <c r="T158" s="266">
        <f>F72</f>
        <v>0</v>
      </c>
    </row>
    <row r="159" spans="3:28" ht="15" x14ac:dyDescent="0.2">
      <c r="C159" s="240"/>
      <c r="D159" s="221"/>
      <c r="E159" s="221"/>
      <c r="F159" s="355" t="str">
        <f>IF($G$95="","",'Avaliação Física 5'!AO39)</f>
        <v/>
      </c>
      <c r="G159" s="355"/>
      <c r="H159" s="355"/>
      <c r="I159" s="278"/>
      <c r="J159" s="484"/>
      <c r="K159" s="485"/>
      <c r="L159" s="485"/>
      <c r="M159" s="485"/>
      <c r="N159" s="485"/>
      <c r="O159" s="485"/>
      <c r="P159" s="485"/>
      <c r="S159" t="s">
        <v>120</v>
      </c>
      <c r="T159" s="265" t="str">
        <f>F98</f>
        <v>-</v>
      </c>
    </row>
    <row r="160" spans="3:28" ht="15" x14ac:dyDescent="0.2">
      <c r="C160" s="240"/>
      <c r="D160" s="221"/>
      <c r="E160" s="221"/>
      <c r="F160" s="355" t="str">
        <f>IF($G$95="","",'Avaliação Física 5'!AO40)</f>
        <v/>
      </c>
      <c r="G160" s="355"/>
      <c r="H160" s="355"/>
      <c r="I160" s="278"/>
      <c r="J160" s="484"/>
      <c r="K160" s="485"/>
      <c r="L160" s="485"/>
      <c r="M160" s="485"/>
      <c r="N160" s="485"/>
      <c r="O160" s="485"/>
      <c r="P160" s="485"/>
      <c r="S160" s="75" t="s">
        <v>362</v>
      </c>
      <c r="T160" s="266" t="str">
        <f>F100</f>
        <v>-</v>
      </c>
      <c r="AB160" t="e">
        <f>VLOOKUP($E$75,tbGC691215[[nome]:[resultado]],2,FALSE)</f>
        <v>#N/A</v>
      </c>
    </row>
    <row r="161" spans="3:153" ht="15" x14ac:dyDescent="0.2">
      <c r="C161" s="240"/>
      <c r="D161" s="221"/>
      <c r="E161" s="221"/>
      <c r="F161" s="355" t="str">
        <f>IF($G$95="","",'Avaliação Física 5'!AO41)</f>
        <v/>
      </c>
      <c r="G161" s="355"/>
      <c r="H161" s="355"/>
      <c r="I161" s="278"/>
      <c r="J161" s="484"/>
      <c r="K161" s="485"/>
      <c r="L161" s="485"/>
      <c r="M161" s="485"/>
      <c r="N161" s="485"/>
      <c r="O161" s="485"/>
      <c r="P161" s="485"/>
    </row>
    <row r="162" spans="3:153" ht="15" x14ac:dyDescent="0.2">
      <c r="C162" s="240"/>
      <c r="D162" s="221"/>
      <c r="E162" s="221"/>
      <c r="F162" s="355" t="str">
        <f>IF($G$95="","",'Avaliação Física 5'!AO42)</f>
        <v/>
      </c>
      <c r="G162" s="355"/>
      <c r="H162" s="355"/>
      <c r="I162" s="278"/>
      <c r="J162" s="484"/>
      <c r="K162" s="485"/>
      <c r="L162" s="485"/>
      <c r="M162" s="485"/>
      <c r="N162" s="485"/>
      <c r="O162" s="485"/>
      <c r="P162" s="485"/>
    </row>
    <row r="163" spans="3:153" ht="15" x14ac:dyDescent="0.2">
      <c r="C163" s="241"/>
      <c r="D163" s="279"/>
      <c r="E163" s="279"/>
      <c r="F163" s="279"/>
      <c r="G163" s="279"/>
      <c r="H163" s="279"/>
      <c r="I163" s="280"/>
      <c r="J163" s="484"/>
      <c r="K163" s="485"/>
      <c r="L163" s="485"/>
      <c r="M163" s="485"/>
      <c r="N163" s="485"/>
      <c r="O163" s="485"/>
      <c r="P163" s="485"/>
      <c r="W163" s="214" t="s">
        <v>369</v>
      </c>
    </row>
    <row r="164" spans="3:153" ht="14.45" hidden="1" customHeight="1" x14ac:dyDescent="0.2">
      <c r="C164" s="55"/>
      <c r="D164" s="56"/>
      <c r="E164" s="56"/>
      <c r="F164" s="56"/>
      <c r="G164" s="56"/>
      <c r="H164" s="56"/>
      <c r="I164" s="57"/>
      <c r="J164" s="105"/>
      <c r="K164" s="105"/>
      <c r="L164" s="105"/>
      <c r="M164" s="105"/>
      <c r="N164" s="105"/>
      <c r="O164" s="105"/>
      <c r="P164" s="105"/>
      <c r="Z164" t="s">
        <v>371</v>
      </c>
    </row>
    <row r="165" spans="3:153" ht="4.1500000000000004" customHeight="1" x14ac:dyDescent="0.2">
      <c r="J165" s="105"/>
      <c r="K165" s="105"/>
      <c r="L165" s="105"/>
      <c r="M165" s="105"/>
      <c r="N165" s="105"/>
      <c r="O165" s="105"/>
      <c r="P165" s="105"/>
    </row>
    <row r="166" spans="3:153" ht="4.1500000000000004" hidden="1" customHeight="1" x14ac:dyDescent="0.2">
      <c r="J166" s="105"/>
      <c r="K166" s="105"/>
      <c r="L166" s="105"/>
      <c r="M166" s="105"/>
      <c r="N166" s="105"/>
      <c r="O166" s="105"/>
      <c r="P166" s="105"/>
    </row>
    <row r="167" spans="3:153" ht="4.1500000000000004" hidden="1" customHeight="1" x14ac:dyDescent="0.2">
      <c r="J167" s="105"/>
      <c r="K167" s="105"/>
      <c r="L167" s="105"/>
      <c r="M167" s="105"/>
      <c r="N167" s="105"/>
      <c r="O167" s="105"/>
      <c r="P167" s="105"/>
      <c r="Z167" t="s">
        <v>371</v>
      </c>
    </row>
    <row r="168" spans="3:153" ht="15" x14ac:dyDescent="0.2">
      <c r="C168" s="362" t="s">
        <v>204</v>
      </c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W168">
        <f>IF(L9="Feminino",1.33*(F78+F77)-0.13*(F78+F77)^2-2.5,0.735*(F78+N79)+1)</f>
        <v>1</v>
      </c>
    </row>
    <row r="169" spans="3:153" ht="6" customHeight="1" x14ac:dyDescent="0.3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Z169" s="21">
        <f>((4.95/W168)-4.5)*100</f>
        <v>45.000000000000014</v>
      </c>
    </row>
    <row r="170" spans="3:153" ht="15" x14ac:dyDescent="0.2">
      <c r="C170" s="238"/>
      <c r="D170" s="357" t="s">
        <v>125</v>
      </c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02"/>
    </row>
    <row r="171" spans="3:153" ht="15" x14ac:dyDescent="0.2">
      <c r="C171" s="240"/>
      <c r="D171" s="221" t="s">
        <v>106</v>
      </c>
      <c r="E171" s="306"/>
      <c r="F171" s="221"/>
      <c r="G171" s="306"/>
      <c r="H171" s="221"/>
      <c r="I171" s="306"/>
      <c r="J171" s="221"/>
      <c r="K171" s="354" t="s">
        <v>57</v>
      </c>
      <c r="L171" s="354"/>
      <c r="M171" s="262"/>
      <c r="N171" s="354" t="s">
        <v>58</v>
      </c>
      <c r="O171" s="354"/>
      <c r="P171" s="278"/>
    </row>
    <row r="172" spans="3:153" s="5" customFormat="1" ht="7.15" customHeight="1" x14ac:dyDescent="0.2">
      <c r="C172" s="240"/>
      <c r="D172" s="221"/>
      <c r="E172" s="306"/>
      <c r="F172" s="221"/>
      <c r="G172" s="306"/>
      <c r="H172" s="221"/>
      <c r="I172" s="306"/>
      <c r="J172" s="221"/>
      <c r="K172" s="221"/>
      <c r="L172" s="221"/>
      <c r="M172" s="221"/>
      <c r="N172" s="221"/>
      <c r="O172" s="221"/>
      <c r="P172" s="278"/>
      <c r="X172"/>
      <c r="Y172"/>
      <c r="Z172"/>
      <c r="AE172" s="7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 s="79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 s="79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 s="79"/>
    </row>
    <row r="173" spans="3:153" ht="15" x14ac:dyDescent="0.2">
      <c r="C173" s="240"/>
      <c r="D173" s="221" t="s">
        <v>103</v>
      </c>
      <c r="E173" s="306"/>
      <c r="F173" s="221"/>
      <c r="G173" s="306"/>
      <c r="H173" s="221"/>
      <c r="I173" s="306"/>
      <c r="J173" s="221"/>
      <c r="K173" s="221"/>
      <c r="L173" s="221"/>
      <c r="M173" s="221"/>
      <c r="N173" s="221"/>
      <c r="O173" s="221"/>
      <c r="P173" s="278"/>
      <c r="Z173" s="5"/>
    </row>
    <row r="174" spans="3:153" s="5" customFormat="1" ht="7.15" customHeight="1" x14ac:dyDescent="0.2">
      <c r="C174" s="240"/>
      <c r="D174" s="221"/>
      <c r="E174" s="306"/>
      <c r="F174" s="221"/>
      <c r="G174" s="306"/>
      <c r="H174" s="221"/>
      <c r="I174" s="306"/>
      <c r="J174" s="221"/>
      <c r="K174" s="221"/>
      <c r="L174" s="221"/>
      <c r="M174" s="221"/>
      <c r="N174" s="221"/>
      <c r="O174" s="221"/>
      <c r="P174" s="278"/>
      <c r="X174"/>
      <c r="Y174"/>
      <c r="Z174"/>
      <c r="AE174" s="79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 s="79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 s="79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 s="79"/>
    </row>
    <row r="175" spans="3:153" ht="15" x14ac:dyDescent="0.2">
      <c r="C175" s="240"/>
      <c r="D175" s="221" t="s">
        <v>229</v>
      </c>
      <c r="E175" s="306"/>
      <c r="F175" s="221"/>
      <c r="G175" s="306"/>
      <c r="H175" s="221"/>
      <c r="I175" s="306"/>
      <c r="J175" s="221"/>
      <c r="K175" s="221"/>
      <c r="L175" s="221"/>
      <c r="M175" s="221"/>
      <c r="N175" s="221"/>
      <c r="O175" s="221"/>
      <c r="P175" s="278"/>
      <c r="W175" s="214" t="s">
        <v>370</v>
      </c>
      <c r="AA175" t="s">
        <v>371</v>
      </c>
    </row>
    <row r="176" spans="3:153" s="5" customFormat="1" ht="7.15" customHeight="1" x14ac:dyDescent="0.2">
      <c r="C176" s="240"/>
      <c r="D176" s="221"/>
      <c r="E176" s="306"/>
      <c r="F176" s="221"/>
      <c r="G176" s="306"/>
      <c r="H176" s="221"/>
      <c r="I176" s="306"/>
      <c r="J176" s="221"/>
      <c r="K176" s="221"/>
      <c r="L176" s="221"/>
      <c r="M176" s="221"/>
      <c r="N176" s="221"/>
      <c r="O176" s="221"/>
      <c r="P176" s="278"/>
      <c r="AE176" s="7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 s="79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 s="79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 s="79"/>
    </row>
    <row r="177" spans="1:153" ht="15" x14ac:dyDescent="0.2">
      <c r="C177" s="240"/>
      <c r="D177" s="221" t="s">
        <v>105</v>
      </c>
      <c r="E177" s="306"/>
      <c r="F177" s="221"/>
      <c r="G177" s="306"/>
      <c r="H177" s="221"/>
      <c r="I177" s="306"/>
      <c r="J177" s="221"/>
      <c r="K177" s="221"/>
      <c r="L177" s="221"/>
      <c r="M177" s="221"/>
      <c r="N177" s="221"/>
      <c r="O177" s="221"/>
      <c r="P177" s="278"/>
      <c r="W177" s="215" t="e">
        <f>IF(L9="Feminino",1.1567-0.0717*LOG10(F78+F79+F77+J79),1.1765 - 0.0744*LOG10(F78+F79+F77+J79))</f>
        <v>#NUM!</v>
      </c>
      <c r="AA177" s="21" t="e">
        <f>((4.95/W177)-4.5)*100</f>
        <v>#NUM!</v>
      </c>
    </row>
    <row r="178" spans="1:153" s="5" customFormat="1" ht="7.15" customHeight="1" x14ac:dyDescent="0.2">
      <c r="C178" s="240"/>
      <c r="D178" s="221"/>
      <c r="E178" s="306"/>
      <c r="F178" s="221"/>
      <c r="G178" s="306"/>
      <c r="H178" s="221"/>
      <c r="I178" s="306"/>
      <c r="J178" s="221"/>
      <c r="K178" s="221"/>
      <c r="L178" s="221"/>
      <c r="M178" s="221"/>
      <c r="N178" s="221"/>
      <c r="O178" s="221"/>
      <c r="P178" s="278"/>
      <c r="AE178" s="79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 s="79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 s="79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 s="79"/>
    </row>
    <row r="179" spans="1:153" ht="15" x14ac:dyDescent="0.2">
      <c r="C179" s="240"/>
      <c r="D179" s="221" t="s">
        <v>104</v>
      </c>
      <c r="E179" s="306"/>
      <c r="F179" s="221"/>
      <c r="G179" s="306"/>
      <c r="H179" s="221"/>
      <c r="I179" s="306"/>
      <c r="J179" s="221"/>
      <c r="K179" s="221"/>
      <c r="L179" s="221"/>
      <c r="M179" s="221"/>
      <c r="N179" s="221"/>
      <c r="O179" s="221"/>
      <c r="P179" s="278"/>
    </row>
    <row r="180" spans="1:153" s="5" customFormat="1" ht="7.15" customHeight="1" x14ac:dyDescent="0.2">
      <c r="C180" s="240"/>
      <c r="D180" s="221"/>
      <c r="E180" s="306"/>
      <c r="F180" s="221"/>
      <c r="G180" s="306"/>
      <c r="H180" s="221"/>
      <c r="I180" s="306"/>
      <c r="J180" s="221"/>
      <c r="K180" s="221"/>
      <c r="L180" s="221"/>
      <c r="M180" s="221"/>
      <c r="N180" s="221"/>
      <c r="O180" s="221"/>
      <c r="P180" s="278"/>
      <c r="AE180" s="79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 s="79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 s="79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 s="79"/>
    </row>
    <row r="181" spans="1:153" ht="15" x14ac:dyDescent="0.2">
      <c r="C181" s="240"/>
      <c r="D181" s="221" t="s">
        <v>52</v>
      </c>
      <c r="E181" s="306"/>
      <c r="F181" s="221"/>
      <c r="G181" s="306"/>
      <c r="H181" s="221"/>
      <c r="I181" s="306"/>
      <c r="J181" s="221"/>
      <c r="K181" s="221"/>
      <c r="L181" s="221"/>
      <c r="M181" s="221"/>
      <c r="N181" s="221"/>
      <c r="O181" s="221"/>
      <c r="P181" s="278"/>
      <c r="X181" s="215"/>
    </row>
    <row r="182" spans="1:153" s="5" customFormat="1" ht="7.15" customHeight="1" x14ac:dyDescent="0.2">
      <c r="C182" s="240"/>
      <c r="D182" s="221"/>
      <c r="E182" s="306"/>
      <c r="F182" s="221"/>
      <c r="G182" s="306"/>
      <c r="H182" s="221"/>
      <c r="I182" s="306"/>
      <c r="J182" s="221"/>
      <c r="K182" s="221"/>
      <c r="L182" s="221"/>
      <c r="M182" s="221"/>
      <c r="N182" s="221"/>
      <c r="O182" s="221"/>
      <c r="P182" s="278"/>
      <c r="AE182" s="7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 s="79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 s="79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 s="79"/>
    </row>
    <row r="183" spans="1:153" ht="15" x14ac:dyDescent="0.2">
      <c r="C183" s="240"/>
      <c r="D183" s="221" t="s">
        <v>107</v>
      </c>
      <c r="E183" s="306"/>
      <c r="F183" s="221"/>
      <c r="G183" s="306"/>
      <c r="H183" s="221"/>
      <c r="I183" s="306"/>
      <c r="J183" s="221"/>
      <c r="K183" s="221"/>
      <c r="L183" s="221"/>
      <c r="M183" s="221"/>
      <c r="N183" s="221"/>
      <c r="O183" s="221"/>
      <c r="P183" s="278"/>
    </row>
    <row r="184" spans="1:153" ht="7.15" customHeight="1" x14ac:dyDescent="0.2">
      <c r="C184" s="240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78"/>
      <c r="X184" s="5"/>
      <c r="Y184" s="5"/>
      <c r="Z184" s="5"/>
    </row>
    <row r="185" spans="1:153" ht="15" x14ac:dyDescent="0.2">
      <c r="C185" s="240"/>
      <c r="D185" s="221" t="s">
        <v>110</v>
      </c>
      <c r="E185" s="306"/>
      <c r="F185" s="221"/>
      <c r="G185" s="306"/>
      <c r="H185" s="221"/>
      <c r="I185" s="306"/>
      <c r="J185" s="221"/>
      <c r="K185" s="221"/>
      <c r="L185" s="221"/>
      <c r="M185" s="221"/>
      <c r="N185" s="221"/>
      <c r="O185" s="221"/>
      <c r="P185" s="278"/>
    </row>
    <row r="186" spans="1:153" ht="15" x14ac:dyDescent="0.2">
      <c r="C186" s="240"/>
      <c r="D186" s="221"/>
      <c r="E186" s="306"/>
      <c r="F186" s="221"/>
      <c r="G186" s="306"/>
      <c r="H186" s="221"/>
      <c r="I186" s="306"/>
      <c r="J186" s="221"/>
      <c r="K186" s="221"/>
      <c r="L186" s="221"/>
      <c r="M186" s="221"/>
      <c r="N186" s="221"/>
      <c r="O186" s="221"/>
      <c r="P186" s="278"/>
      <c r="X186" s="5"/>
      <c r="Y186" s="5"/>
      <c r="Z186" s="5"/>
    </row>
    <row r="187" spans="1:153" s="5" customFormat="1" ht="11.45" customHeight="1" x14ac:dyDescent="0.2">
      <c r="C187" s="240"/>
      <c r="D187" s="221"/>
      <c r="E187" s="306"/>
      <c r="F187" s="221"/>
      <c r="G187" s="306"/>
      <c r="H187" s="221"/>
      <c r="I187" s="306"/>
      <c r="J187" s="221"/>
      <c r="K187" s="221"/>
      <c r="L187" s="221"/>
      <c r="M187" s="221"/>
      <c r="N187" s="221"/>
      <c r="O187" s="221"/>
      <c r="P187" s="278"/>
      <c r="X187"/>
      <c r="Y187"/>
      <c r="Z187"/>
      <c r="AE187" s="79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 s="79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 s="79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s="79"/>
    </row>
    <row r="188" spans="1:153" ht="15" x14ac:dyDescent="0.2">
      <c r="C188" s="240"/>
      <c r="D188" s="356" t="s">
        <v>124</v>
      </c>
      <c r="E188" s="356"/>
      <c r="F188" s="356"/>
      <c r="G188" s="356"/>
      <c r="H188" s="356"/>
      <c r="I188" s="261"/>
      <c r="J188" s="356" t="s">
        <v>123</v>
      </c>
      <c r="K188" s="356"/>
      <c r="L188" s="356"/>
      <c r="M188" s="356"/>
      <c r="N188" s="356"/>
      <c r="O188" s="356"/>
      <c r="P188" s="303"/>
    </row>
    <row r="189" spans="1:153" ht="15" x14ac:dyDescent="0.2">
      <c r="A189" s="227"/>
      <c r="B189" s="227"/>
      <c r="C189" s="240"/>
      <c r="D189" s="221" t="s">
        <v>50</v>
      </c>
      <c r="E189" s="306"/>
      <c r="F189" s="221"/>
      <c r="G189" s="306"/>
      <c r="H189" s="221"/>
      <c r="I189" s="306"/>
      <c r="J189" s="221" t="s">
        <v>379</v>
      </c>
      <c r="K189" s="306"/>
      <c r="L189" s="221"/>
      <c r="M189" s="221"/>
      <c r="N189" s="355"/>
      <c r="O189" s="355"/>
      <c r="P189" s="278"/>
    </row>
    <row r="190" spans="1:153" s="5" customFormat="1" ht="14.45" customHeight="1" x14ac:dyDescent="0.2">
      <c r="A190" s="227"/>
      <c r="B190" s="227"/>
      <c r="C190" s="240"/>
      <c r="D190" s="221"/>
      <c r="E190" s="306"/>
      <c r="F190" s="221"/>
      <c r="G190" s="306"/>
      <c r="H190" s="221"/>
      <c r="I190" s="306"/>
      <c r="J190" s="221"/>
      <c r="K190" s="306"/>
      <c r="L190" s="221"/>
      <c r="M190" s="221"/>
      <c r="N190" s="221"/>
      <c r="O190" s="221"/>
      <c r="P190" s="278"/>
      <c r="X190"/>
      <c r="Y190"/>
      <c r="Z190"/>
      <c r="AE190" s="79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 s="79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 s="79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 s="79"/>
    </row>
    <row r="191" spans="1:153" ht="15" x14ac:dyDescent="0.2">
      <c r="A191" s="227"/>
      <c r="B191" s="227"/>
      <c r="C191" s="240"/>
      <c r="D191" s="221"/>
      <c r="E191" s="306"/>
      <c r="F191" s="221"/>
      <c r="G191" s="306"/>
      <c r="H191" s="221"/>
      <c r="I191" s="306"/>
      <c r="J191" s="221"/>
      <c r="K191" s="306"/>
      <c r="L191" s="221"/>
      <c r="M191" s="221"/>
      <c r="N191" s="221"/>
      <c r="O191" s="221"/>
      <c r="P191" s="278"/>
      <c r="X191" s="5"/>
      <c r="Y191" s="5"/>
      <c r="Z191" s="5"/>
    </row>
    <row r="192" spans="1:153" s="5" customFormat="1" ht="7.15" customHeight="1" x14ac:dyDescent="0.2">
      <c r="A192" s="227"/>
      <c r="B192" s="227"/>
      <c r="C192" s="240"/>
      <c r="D192" s="221"/>
      <c r="E192" s="306"/>
      <c r="F192" s="221"/>
      <c r="G192" s="306"/>
      <c r="H192" s="221"/>
      <c r="I192" s="306"/>
      <c r="J192" s="221"/>
      <c r="K192" s="221"/>
      <c r="L192" s="221"/>
      <c r="M192" s="221"/>
      <c r="N192" s="221"/>
      <c r="O192" s="221"/>
      <c r="P192" s="278"/>
      <c r="X192"/>
      <c r="Y192"/>
      <c r="Z192"/>
      <c r="AE192" s="79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 s="79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 s="79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s="79"/>
    </row>
    <row r="193" spans="1:153" ht="15" x14ac:dyDescent="0.2">
      <c r="A193" s="227"/>
      <c r="B193" s="227"/>
      <c r="C193" s="240"/>
      <c r="D193" s="221" t="s">
        <v>109</v>
      </c>
      <c r="E193" s="221"/>
      <c r="F193" s="221"/>
      <c r="G193" s="306"/>
      <c r="H193" s="221"/>
      <c r="I193" s="306"/>
      <c r="J193" s="221" t="s">
        <v>114</v>
      </c>
      <c r="K193" s="221"/>
      <c r="L193" s="221"/>
      <c r="M193" s="221"/>
      <c r="N193" s="221"/>
      <c r="O193" s="221"/>
      <c r="P193" s="278"/>
    </row>
    <row r="194" spans="1:153" ht="15" x14ac:dyDescent="0.2">
      <c r="A194" s="227"/>
      <c r="B194" s="227"/>
      <c r="C194" s="240"/>
      <c r="D194" s="221"/>
      <c r="E194" s="306"/>
      <c r="F194" s="221"/>
      <c r="G194" s="306"/>
      <c r="H194" s="221"/>
      <c r="I194" s="306"/>
      <c r="J194" s="221"/>
      <c r="K194" s="221"/>
      <c r="L194" s="221"/>
      <c r="M194" s="221"/>
      <c r="N194" s="221"/>
      <c r="O194" s="221"/>
      <c r="P194" s="278"/>
      <c r="X194" s="5"/>
      <c r="Y194" s="5"/>
      <c r="Z194" s="5"/>
    </row>
    <row r="195" spans="1:153" s="5" customFormat="1" ht="14.45" customHeight="1" x14ac:dyDescent="0.2">
      <c r="A195" s="227"/>
      <c r="B195" s="227"/>
      <c r="C195" s="240"/>
      <c r="D195" s="221"/>
      <c r="E195" s="221"/>
      <c r="F195" s="221"/>
      <c r="G195" s="306"/>
      <c r="H195" s="221"/>
      <c r="I195" s="306"/>
      <c r="J195" s="221"/>
      <c r="K195" s="221"/>
      <c r="L195" s="221"/>
      <c r="M195" s="221"/>
      <c r="N195" s="221"/>
      <c r="O195" s="221"/>
      <c r="P195" s="278"/>
      <c r="X195"/>
      <c r="Y195"/>
      <c r="Z195"/>
      <c r="AE195" s="79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 s="79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 s="79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s="79"/>
    </row>
    <row r="196" spans="1:153" ht="14.45" customHeight="1" x14ac:dyDescent="0.2">
      <c r="A196" s="227"/>
      <c r="B196" s="227"/>
      <c r="C196" s="240"/>
      <c r="D196" s="221"/>
      <c r="E196" s="221"/>
      <c r="F196" s="221"/>
      <c r="G196" s="306"/>
      <c r="H196" s="221"/>
      <c r="I196" s="306"/>
      <c r="J196" s="221"/>
      <c r="K196" s="221"/>
      <c r="L196" s="221"/>
      <c r="M196" s="221"/>
      <c r="N196" s="221"/>
      <c r="O196" s="221"/>
      <c r="P196" s="278"/>
      <c r="X196" s="5"/>
      <c r="Y196" s="5"/>
      <c r="Z196" s="5"/>
    </row>
    <row r="197" spans="1:153" s="5" customFormat="1" ht="7.15" customHeight="1" x14ac:dyDescent="0.2">
      <c r="A197" s="227"/>
      <c r="B197" s="227"/>
      <c r="C197" s="240"/>
      <c r="D197" s="221"/>
      <c r="E197" s="306"/>
      <c r="F197" s="221"/>
      <c r="G197" s="306"/>
      <c r="H197" s="221"/>
      <c r="I197" s="306"/>
      <c r="J197" s="221"/>
      <c r="K197" s="221"/>
      <c r="L197" s="221"/>
      <c r="M197" s="221"/>
      <c r="N197" s="221"/>
      <c r="O197" s="221"/>
      <c r="P197" s="278"/>
      <c r="X197"/>
      <c r="Y197"/>
      <c r="Z197"/>
      <c r="AE197" s="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 s="79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 s="79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s="79"/>
    </row>
    <row r="198" spans="1:153" ht="15" x14ac:dyDescent="0.2">
      <c r="C198" s="240"/>
      <c r="D198" s="221" t="s">
        <v>108</v>
      </c>
      <c r="E198" s="221"/>
      <c r="F198" s="221"/>
      <c r="G198" s="306"/>
      <c r="H198" s="221"/>
      <c r="I198" s="306"/>
      <c r="J198" s="221" t="s">
        <v>112</v>
      </c>
      <c r="K198" s="221"/>
      <c r="L198" s="221"/>
      <c r="M198" s="221"/>
      <c r="N198" s="221"/>
      <c r="O198" s="221"/>
      <c r="P198" s="278"/>
    </row>
    <row r="199" spans="1:153" ht="14.45" customHeight="1" x14ac:dyDescent="0.2">
      <c r="C199" s="240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78"/>
      <c r="X199" s="5"/>
      <c r="Y199" s="5"/>
      <c r="Z199" s="5"/>
    </row>
    <row r="200" spans="1:153" ht="15" x14ac:dyDescent="0.2">
      <c r="C200" s="240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78"/>
    </row>
    <row r="201" spans="1:153" ht="7.15" customHeight="1" x14ac:dyDescent="0.2">
      <c r="C201" s="240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78"/>
      <c r="X201" s="5"/>
      <c r="Y201" s="5"/>
      <c r="Z201" s="5"/>
    </row>
    <row r="202" spans="1:153" ht="15" hidden="1" x14ac:dyDescent="0.2">
      <c r="C202" s="240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78"/>
    </row>
    <row r="203" spans="1:153" ht="7.15" hidden="1" customHeight="1" x14ac:dyDescent="0.2">
      <c r="C203" s="240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78"/>
    </row>
    <row r="204" spans="1:153" ht="15" x14ac:dyDescent="0.2">
      <c r="C204" s="240"/>
      <c r="D204" s="221" t="s">
        <v>115</v>
      </c>
      <c r="E204" s="221"/>
      <c r="F204" s="221"/>
      <c r="G204" s="221"/>
      <c r="H204" s="221"/>
      <c r="I204" s="221"/>
      <c r="J204" s="221" t="s">
        <v>113</v>
      </c>
      <c r="K204" s="221"/>
      <c r="L204" s="221"/>
      <c r="M204" s="221"/>
      <c r="N204" s="221"/>
      <c r="O204" s="221"/>
      <c r="P204" s="278"/>
    </row>
    <row r="205" spans="1:153" ht="15" x14ac:dyDescent="0.2">
      <c r="B205" s="227"/>
      <c r="C205" s="240"/>
      <c r="D205" s="221"/>
      <c r="E205" s="306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78"/>
    </row>
    <row r="206" spans="1:153" ht="14.45" customHeight="1" x14ac:dyDescent="0.2">
      <c r="C206" s="240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78"/>
    </row>
    <row r="207" spans="1:153" ht="7.15" customHeight="1" x14ac:dyDescent="0.2">
      <c r="C207" s="240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303"/>
    </row>
    <row r="208" spans="1:153" ht="15" x14ac:dyDescent="0.2">
      <c r="A208" s="227"/>
      <c r="B208" s="227"/>
      <c r="C208" s="240"/>
      <c r="D208" s="221" t="s">
        <v>111</v>
      </c>
      <c r="E208" s="306"/>
      <c r="F208" s="221"/>
      <c r="G208" s="306"/>
      <c r="H208" s="221"/>
      <c r="I208" s="306"/>
      <c r="J208" s="221"/>
      <c r="K208" s="221"/>
      <c r="L208" s="221"/>
      <c r="M208" s="221"/>
      <c r="N208" s="221"/>
      <c r="O208" s="221"/>
      <c r="P208" s="278"/>
    </row>
    <row r="209" spans="1:153" s="5" customFormat="1" ht="14.45" customHeight="1" x14ac:dyDescent="0.2">
      <c r="A209" s="227"/>
      <c r="B209" s="227"/>
      <c r="C209" s="240"/>
      <c r="D209" s="221"/>
      <c r="E209" s="306"/>
      <c r="F209" s="221"/>
      <c r="G209" s="306"/>
      <c r="H209" s="221"/>
      <c r="I209" s="306"/>
      <c r="J209" s="221"/>
      <c r="K209" s="221"/>
      <c r="L209" s="221"/>
      <c r="M209" s="221"/>
      <c r="N209" s="221"/>
      <c r="O209" s="221"/>
      <c r="P209" s="278"/>
      <c r="X209"/>
      <c r="Y209"/>
      <c r="Z209"/>
      <c r="AE209" s="7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 s="7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 s="7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 s="79"/>
    </row>
    <row r="210" spans="1:153" ht="7.15" customHeight="1" x14ac:dyDescent="0.2">
      <c r="A210" s="227"/>
      <c r="B210" s="227"/>
      <c r="C210" s="240"/>
      <c r="D210" s="221"/>
      <c r="E210" s="306"/>
      <c r="F210" s="221"/>
      <c r="G210" s="306"/>
      <c r="H210" s="221"/>
      <c r="I210" s="306"/>
      <c r="J210" s="221"/>
      <c r="K210" s="221"/>
      <c r="L210" s="221"/>
      <c r="M210" s="221"/>
      <c r="N210" s="221"/>
      <c r="O210" s="221"/>
      <c r="P210" s="278"/>
    </row>
    <row r="211" spans="1:153" s="5" customFormat="1" ht="14.45" customHeight="1" x14ac:dyDescent="0.2">
      <c r="A211" s="227"/>
      <c r="B211" s="227"/>
      <c r="C211" s="240"/>
      <c r="D211" s="221" t="s">
        <v>110</v>
      </c>
      <c r="E211" s="221"/>
      <c r="F211" s="221"/>
      <c r="G211" s="221"/>
      <c r="H211" s="221"/>
      <c r="I211" s="306"/>
      <c r="J211" s="221"/>
      <c r="K211" s="221"/>
      <c r="L211" s="221"/>
      <c r="M211" s="221"/>
      <c r="N211" s="221"/>
      <c r="O211" s="221"/>
      <c r="P211" s="278"/>
      <c r="X211"/>
      <c r="Y211"/>
      <c r="Z211"/>
      <c r="AE211" s="79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 s="79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 s="79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s="79"/>
    </row>
    <row r="212" spans="1:153" ht="15" x14ac:dyDescent="0.2">
      <c r="A212" s="227"/>
      <c r="B212" s="227"/>
      <c r="C212" s="240"/>
      <c r="D212" s="221"/>
      <c r="E212" s="221"/>
      <c r="F212" s="221"/>
      <c r="G212" s="221"/>
      <c r="H212" s="221"/>
      <c r="I212" s="306"/>
      <c r="J212" s="221"/>
      <c r="K212" s="221"/>
      <c r="L212" s="221"/>
      <c r="M212" s="221"/>
      <c r="N212" s="221"/>
      <c r="O212" s="221"/>
      <c r="P212" s="278"/>
    </row>
    <row r="213" spans="1:153" s="5" customFormat="1" ht="7.15" customHeight="1" x14ac:dyDescent="0.2">
      <c r="A213" s="227"/>
      <c r="B213" s="227"/>
      <c r="C213" s="241"/>
      <c r="D213" s="279"/>
      <c r="E213" s="304"/>
      <c r="F213" s="279"/>
      <c r="G213" s="304"/>
      <c r="H213" s="279"/>
      <c r="I213" s="304"/>
      <c r="J213" s="279"/>
      <c r="K213" s="279"/>
      <c r="L213" s="279"/>
      <c r="M213" s="279"/>
      <c r="N213" s="279"/>
      <c r="O213" s="279"/>
      <c r="P213" s="280"/>
      <c r="AE213" s="79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 s="79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 s="79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 s="79"/>
    </row>
    <row r="214" spans="1:153" ht="15" x14ac:dyDescent="0.2">
      <c r="A214" s="227"/>
      <c r="B214" s="227"/>
      <c r="C214" s="120"/>
      <c r="D214" s="106"/>
      <c r="E214" s="106"/>
      <c r="F214" s="106"/>
      <c r="G214" s="106"/>
      <c r="H214" s="106"/>
      <c r="I214" s="309"/>
      <c r="J214" s="106"/>
      <c r="K214" s="106"/>
      <c r="L214" s="106"/>
      <c r="M214" s="106"/>
      <c r="N214" s="106"/>
      <c r="O214" s="106"/>
      <c r="P214" s="106"/>
    </row>
    <row r="215" spans="1:153" ht="15" hidden="1" x14ac:dyDescent="0.2"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X215" s="5"/>
      <c r="Y215" s="5"/>
      <c r="Z215" s="5"/>
    </row>
    <row r="216" spans="1:153" ht="15" hidden="1" x14ac:dyDescent="0.2"/>
    <row r="217" spans="1:153" ht="15" x14ac:dyDescent="0.2">
      <c r="C217" s="362" t="s">
        <v>378</v>
      </c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X217" s="5"/>
      <c r="Y217" s="5"/>
      <c r="Z217" s="5"/>
    </row>
    <row r="218" spans="1:153" ht="14.45" customHeight="1" x14ac:dyDescent="0.2"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44"/>
      <c r="N218" s="219"/>
      <c r="O218" s="219"/>
      <c r="P218" s="219"/>
    </row>
    <row r="219" spans="1:153" ht="15" customHeight="1" x14ac:dyDescent="0.2">
      <c r="C219" s="219"/>
      <c r="D219" s="219"/>
      <c r="E219" s="219"/>
      <c r="F219" s="373">
        <v>1</v>
      </c>
      <c r="G219" s="373"/>
      <c r="H219" s="373">
        <v>2</v>
      </c>
      <c r="I219" s="373"/>
      <c r="J219" s="373">
        <v>3</v>
      </c>
      <c r="K219" s="373"/>
      <c r="L219" s="373">
        <v>4</v>
      </c>
      <c r="M219" s="373"/>
      <c r="N219" s="245" t="s">
        <v>67</v>
      </c>
      <c r="O219" s="219"/>
      <c r="P219" s="219"/>
    </row>
    <row r="220" spans="1:153" ht="15" x14ac:dyDescent="0.2">
      <c r="C220" s="364" t="s">
        <v>69</v>
      </c>
      <c r="D220" s="365"/>
      <c r="E220" s="366"/>
      <c r="F220" s="281"/>
      <c r="G220" s="276"/>
      <c r="H220" s="276"/>
      <c r="I220" s="276"/>
      <c r="J220" s="276"/>
      <c r="K220" s="276"/>
      <c r="L220" s="276"/>
      <c r="M220" s="417"/>
      <c r="N220" s="438"/>
      <c r="O220" s="219"/>
      <c r="P220" s="219"/>
    </row>
    <row r="221" spans="1:153" ht="15" x14ac:dyDescent="0.2">
      <c r="C221" s="367"/>
      <c r="D221" s="368"/>
      <c r="E221" s="369"/>
      <c r="F221" s="247"/>
      <c r="G221" s="221"/>
      <c r="H221" s="221"/>
      <c r="I221" s="221"/>
      <c r="J221" s="221"/>
      <c r="K221" s="221"/>
      <c r="L221" s="221"/>
      <c r="M221" s="363"/>
      <c r="N221" s="439"/>
      <c r="O221" s="219"/>
      <c r="P221" s="219"/>
    </row>
    <row r="222" spans="1:153" ht="15.75" thickBot="1" x14ac:dyDescent="0.25">
      <c r="C222" s="370"/>
      <c r="D222" s="371"/>
      <c r="E222" s="372"/>
      <c r="F222" s="248"/>
      <c r="G222" s="221"/>
      <c r="H222" s="221"/>
      <c r="I222" s="221"/>
      <c r="J222" s="221"/>
      <c r="K222" s="221"/>
      <c r="L222" s="221"/>
      <c r="M222" s="363"/>
      <c r="N222" s="440"/>
      <c r="O222" s="219"/>
      <c r="P222" s="219"/>
    </row>
    <row r="223" spans="1:153" ht="15" x14ac:dyDescent="0.2">
      <c r="C223" s="364" t="s">
        <v>68</v>
      </c>
      <c r="D223" s="365"/>
      <c r="E223" s="366"/>
      <c r="F223" s="246"/>
      <c r="G223" s="221"/>
      <c r="H223" s="221"/>
      <c r="I223" s="221"/>
      <c r="J223" s="221"/>
      <c r="K223" s="221"/>
      <c r="L223" s="221"/>
      <c r="M223" s="363"/>
      <c r="N223" s="438"/>
      <c r="O223" s="219"/>
      <c r="P223" s="219"/>
    </row>
    <row r="224" spans="1:153" ht="15.75" thickBot="1" x14ac:dyDescent="0.25">
      <c r="C224" s="367"/>
      <c r="D224" s="368"/>
      <c r="E224" s="369"/>
      <c r="F224" s="247"/>
      <c r="G224" s="221"/>
      <c r="H224" s="221"/>
      <c r="I224" s="221"/>
      <c r="J224" s="221"/>
      <c r="K224" s="221"/>
      <c r="L224" s="221"/>
      <c r="M224" s="363"/>
      <c r="N224" s="439"/>
      <c r="O224" s="219"/>
      <c r="P224" s="219"/>
    </row>
    <row r="225" spans="3:71" ht="15.75" thickBot="1" x14ac:dyDescent="0.25">
      <c r="C225" s="370"/>
      <c r="D225" s="371"/>
      <c r="E225" s="372"/>
      <c r="F225" s="248"/>
      <c r="G225" s="221"/>
      <c r="H225" s="221"/>
      <c r="I225" s="221"/>
      <c r="J225" s="221"/>
      <c r="K225" s="221"/>
      <c r="L225" s="221"/>
      <c r="M225" s="363"/>
      <c r="N225" s="440"/>
      <c r="O225" s="219"/>
      <c r="P225" s="219"/>
      <c r="AJ225" s="401" t="s">
        <v>278</v>
      </c>
      <c r="AK225" s="402"/>
      <c r="AL225" s="402"/>
      <c r="AM225" s="402"/>
      <c r="AN225" s="402"/>
      <c r="AO225" s="402"/>
      <c r="AP225" s="402"/>
      <c r="AQ225" s="402"/>
      <c r="AR225" s="402"/>
      <c r="AS225" s="402"/>
      <c r="AT225" s="402"/>
      <c r="AU225" s="402"/>
      <c r="AV225" s="402"/>
      <c r="AW225" s="402"/>
      <c r="AX225" s="402"/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3"/>
    </row>
    <row r="226" spans="3:71" ht="15.75" thickBot="1" x14ac:dyDescent="0.25">
      <c r="C226" s="364" t="s">
        <v>70</v>
      </c>
      <c r="D226" s="365"/>
      <c r="E226" s="366"/>
      <c r="F226" s="246"/>
      <c r="G226" s="221"/>
      <c r="H226" s="221"/>
      <c r="I226" s="221"/>
      <c r="J226" s="221"/>
      <c r="K226" s="221"/>
      <c r="L226" s="221"/>
      <c r="M226" s="363"/>
      <c r="N226" s="438"/>
      <c r="O226" s="219"/>
      <c r="P226" s="219"/>
      <c r="AJ226" s="401" t="s">
        <v>279</v>
      </c>
      <c r="AK226" s="402"/>
      <c r="AL226" s="402"/>
      <c r="AM226" s="402"/>
      <c r="AN226" s="402"/>
      <c r="AO226" s="402"/>
      <c r="AP226" s="402" t="s">
        <v>280</v>
      </c>
      <c r="AQ226" s="402"/>
      <c r="AR226" s="402"/>
      <c r="AS226" s="402"/>
      <c r="AT226" s="402"/>
      <c r="AU226" s="192" t="s">
        <v>281</v>
      </c>
      <c r="AV226" s="192"/>
      <c r="AW226" s="192"/>
      <c r="AX226" s="192"/>
      <c r="AY226" s="192"/>
      <c r="AZ226" s="192" t="s">
        <v>282</v>
      </c>
      <c r="BA226" s="192"/>
      <c r="BB226" s="192"/>
      <c r="BC226" s="192"/>
      <c r="BD226" s="192"/>
      <c r="BE226" s="192" t="s">
        <v>283</v>
      </c>
      <c r="BF226" s="192"/>
      <c r="BG226" s="192"/>
      <c r="BH226" s="192"/>
      <c r="BI226" s="192"/>
      <c r="BJ226" s="192" t="s">
        <v>284</v>
      </c>
      <c r="BK226" s="192"/>
      <c r="BL226" s="192"/>
      <c r="BM226" s="192"/>
      <c r="BN226" s="192"/>
      <c r="BO226" s="192" t="s">
        <v>285</v>
      </c>
      <c r="BP226" s="192"/>
      <c r="BQ226" s="192"/>
      <c r="BR226" s="192"/>
      <c r="BS226" s="193"/>
    </row>
    <row r="227" spans="3:71" ht="15" x14ac:dyDescent="0.2">
      <c r="C227" s="367"/>
      <c r="D227" s="368"/>
      <c r="E227" s="369"/>
      <c r="F227" s="247"/>
      <c r="G227" s="221"/>
      <c r="H227" s="221"/>
      <c r="I227" s="221"/>
      <c r="J227" s="221"/>
      <c r="K227" s="221"/>
      <c r="L227" s="221"/>
      <c r="M227" s="363"/>
      <c r="N227" s="439"/>
      <c r="O227" s="219"/>
      <c r="P227" s="219"/>
      <c r="AJ227" s="180" t="s">
        <v>141</v>
      </c>
      <c r="AK227" s="181"/>
      <c r="AL227" s="181"/>
      <c r="AM227" s="181"/>
      <c r="AN227" s="181"/>
      <c r="AO227" s="181"/>
      <c r="AP227" s="181" t="s">
        <v>286</v>
      </c>
      <c r="AQ227" s="181"/>
      <c r="AR227" s="181"/>
      <c r="AS227" s="181"/>
      <c r="AT227" s="181"/>
      <c r="AU227" s="181" t="s">
        <v>287</v>
      </c>
      <c r="AV227" s="181"/>
      <c r="AW227" s="181"/>
      <c r="AX227" s="181"/>
      <c r="AY227" s="181"/>
      <c r="AZ227" s="181" t="s">
        <v>288</v>
      </c>
      <c r="BA227" s="181"/>
      <c r="BB227" s="181"/>
      <c r="BC227" s="181"/>
      <c r="BD227" s="181"/>
      <c r="BE227" s="181" t="s">
        <v>289</v>
      </c>
      <c r="BF227" s="181"/>
      <c r="BG227" s="181"/>
      <c r="BH227" s="181"/>
      <c r="BI227" s="181"/>
      <c r="BJ227" s="181" t="s">
        <v>290</v>
      </c>
      <c r="BK227" s="181"/>
      <c r="BL227" s="181"/>
      <c r="BM227" s="181"/>
      <c r="BN227" s="181"/>
      <c r="BO227" s="181" t="s">
        <v>291</v>
      </c>
      <c r="BP227" s="181"/>
      <c r="BQ227" s="181"/>
      <c r="BR227" s="181"/>
      <c r="BS227" s="191"/>
    </row>
    <row r="228" spans="3:71" ht="15.75" thickBot="1" x14ac:dyDescent="0.25">
      <c r="C228" s="370"/>
      <c r="D228" s="371"/>
      <c r="E228" s="372"/>
      <c r="F228" s="248"/>
      <c r="G228" s="221"/>
      <c r="H228" s="221"/>
      <c r="I228" s="221"/>
      <c r="J228" s="221"/>
      <c r="K228" s="221"/>
      <c r="L228" s="221"/>
      <c r="M228" s="363"/>
      <c r="N228" s="440"/>
      <c r="O228" s="219"/>
      <c r="P228" s="219"/>
      <c r="AJ228" s="182" t="s">
        <v>140</v>
      </c>
      <c r="AK228" s="123"/>
      <c r="AL228" s="123"/>
      <c r="AM228" s="123"/>
      <c r="AN228" s="123"/>
      <c r="AO228" s="123"/>
      <c r="AP228" s="123" t="s">
        <v>292</v>
      </c>
      <c r="AQ228" s="123"/>
      <c r="AR228" s="123"/>
      <c r="AS228" s="123"/>
      <c r="AT228" s="123"/>
      <c r="AU228" s="123" t="s">
        <v>293</v>
      </c>
      <c r="AV228" s="123"/>
      <c r="AW228" s="123"/>
      <c r="AX228" s="123"/>
      <c r="AY228" s="123"/>
      <c r="AZ228" s="123" t="s">
        <v>294</v>
      </c>
      <c r="BA228" s="123"/>
      <c r="BB228" s="123"/>
      <c r="BC228" s="123"/>
      <c r="BD228" s="123"/>
      <c r="BE228" s="123" t="s">
        <v>295</v>
      </c>
      <c r="BF228" s="123"/>
      <c r="BG228" s="123"/>
      <c r="BH228" s="123"/>
      <c r="BI228" s="123"/>
      <c r="BJ228" s="123" t="s">
        <v>296</v>
      </c>
      <c r="BK228" s="123"/>
      <c r="BL228" s="123"/>
      <c r="BM228" s="123"/>
      <c r="BN228" s="123"/>
      <c r="BO228" s="123" t="s">
        <v>297</v>
      </c>
      <c r="BP228" s="123"/>
      <c r="BQ228" s="123"/>
      <c r="BR228" s="123"/>
      <c r="BS228" s="190"/>
    </row>
    <row r="229" spans="3:71" ht="15" x14ac:dyDescent="0.2">
      <c r="C229" s="364" t="s">
        <v>71</v>
      </c>
      <c r="D229" s="365"/>
      <c r="E229" s="366"/>
      <c r="F229" s="246"/>
      <c r="G229" s="221"/>
      <c r="H229" s="221"/>
      <c r="I229" s="221"/>
      <c r="J229" s="221"/>
      <c r="K229" s="221"/>
      <c r="L229" s="221"/>
      <c r="M229" s="363"/>
      <c r="N229" s="438"/>
      <c r="O229" s="219"/>
      <c r="P229" s="219"/>
      <c r="AJ229" s="183" t="s">
        <v>298</v>
      </c>
      <c r="AK229" s="184"/>
      <c r="AL229" s="184"/>
      <c r="AM229" s="184"/>
      <c r="AN229" s="184"/>
      <c r="AO229" s="184"/>
      <c r="AP229" s="184" t="s">
        <v>299</v>
      </c>
      <c r="AQ229" s="184"/>
      <c r="AR229" s="184"/>
      <c r="AS229" s="184"/>
      <c r="AT229" s="184"/>
      <c r="AU229" s="184" t="s">
        <v>294</v>
      </c>
      <c r="AV229" s="184"/>
      <c r="AW229" s="184"/>
      <c r="AX229" s="184"/>
      <c r="AY229" s="184"/>
      <c r="AZ229" s="184" t="s">
        <v>297</v>
      </c>
      <c r="BA229" s="184"/>
      <c r="BB229" s="184"/>
      <c r="BC229" s="184"/>
      <c r="BD229" s="184"/>
      <c r="BE229" s="184" t="s">
        <v>300</v>
      </c>
      <c r="BF229" s="184"/>
      <c r="BG229" s="184"/>
      <c r="BH229" s="184"/>
      <c r="BI229" s="184"/>
      <c r="BJ229" s="184" t="s">
        <v>301</v>
      </c>
      <c r="BK229" s="184"/>
      <c r="BL229" s="184"/>
      <c r="BM229" s="184"/>
      <c r="BN229" s="184"/>
      <c r="BO229" s="184" t="s">
        <v>302</v>
      </c>
      <c r="BP229" s="184"/>
      <c r="BQ229" s="184"/>
      <c r="BR229" s="184"/>
      <c r="BS229" s="189"/>
    </row>
    <row r="230" spans="3:71" ht="15" x14ac:dyDescent="0.2">
      <c r="C230" s="367"/>
      <c r="D230" s="368"/>
      <c r="E230" s="369"/>
      <c r="F230" s="247"/>
      <c r="G230" s="221"/>
      <c r="H230" s="221"/>
      <c r="I230" s="221"/>
      <c r="J230" s="221"/>
      <c r="K230" s="221"/>
      <c r="L230" s="221"/>
      <c r="M230" s="363"/>
      <c r="N230" s="439"/>
      <c r="O230" s="219"/>
      <c r="P230" s="219"/>
      <c r="AJ230" s="182" t="s">
        <v>303</v>
      </c>
      <c r="AK230" s="123"/>
      <c r="AL230" s="123"/>
      <c r="AM230" s="123"/>
      <c r="AN230" s="123"/>
      <c r="AO230" s="123"/>
      <c r="AP230" s="123" t="s">
        <v>304</v>
      </c>
      <c r="AQ230" s="123"/>
      <c r="AR230" s="123"/>
      <c r="AS230" s="123"/>
      <c r="AT230" s="123"/>
      <c r="AU230" s="123" t="s">
        <v>295</v>
      </c>
      <c r="AV230" s="123"/>
      <c r="AW230" s="123"/>
      <c r="AX230" s="123"/>
      <c r="AY230" s="123"/>
      <c r="AZ230" s="123" t="s">
        <v>300</v>
      </c>
      <c r="BA230" s="123"/>
      <c r="BB230" s="123"/>
      <c r="BC230" s="123"/>
      <c r="BD230" s="123"/>
      <c r="BE230" s="123" t="s">
        <v>305</v>
      </c>
      <c r="BF230" s="123"/>
      <c r="BG230" s="123"/>
      <c r="BH230" s="123"/>
      <c r="BI230" s="123"/>
      <c r="BJ230" s="123" t="s">
        <v>305</v>
      </c>
      <c r="BK230" s="123"/>
      <c r="BL230" s="123"/>
      <c r="BM230" s="123"/>
      <c r="BN230" s="123"/>
      <c r="BO230" s="123" t="s">
        <v>306</v>
      </c>
      <c r="BP230" s="123"/>
      <c r="BQ230" s="123"/>
      <c r="BR230" s="123"/>
      <c r="BS230" s="190"/>
    </row>
    <row r="231" spans="3:71" ht="15.75" thickBot="1" x14ac:dyDescent="0.25">
      <c r="C231" s="370"/>
      <c r="D231" s="371"/>
      <c r="E231" s="372"/>
      <c r="F231" s="248"/>
      <c r="G231" s="221"/>
      <c r="H231" s="221"/>
      <c r="I231" s="221"/>
      <c r="J231" s="221"/>
      <c r="K231" s="221"/>
      <c r="L231" s="221"/>
      <c r="M231" s="363"/>
      <c r="N231" s="440"/>
      <c r="O231" s="219"/>
      <c r="P231" s="219"/>
      <c r="AJ231" s="183" t="s">
        <v>307</v>
      </c>
      <c r="AK231" s="184"/>
      <c r="AL231" s="184"/>
      <c r="AM231" s="184"/>
      <c r="AN231" s="184"/>
      <c r="AO231" s="184"/>
      <c r="AP231" s="184" t="s">
        <v>308</v>
      </c>
      <c r="AQ231" s="184"/>
      <c r="AR231" s="184"/>
      <c r="AS231" s="184"/>
      <c r="AT231" s="184"/>
      <c r="AU231" s="184" t="s">
        <v>309</v>
      </c>
      <c r="AV231" s="184"/>
      <c r="AW231" s="184"/>
      <c r="AX231" s="184"/>
      <c r="AY231" s="184"/>
      <c r="AZ231" s="184" t="s">
        <v>305</v>
      </c>
      <c r="BA231" s="184"/>
      <c r="BB231" s="184"/>
      <c r="BC231" s="184"/>
      <c r="BD231" s="184"/>
      <c r="BE231" s="184" t="s">
        <v>310</v>
      </c>
      <c r="BF231" s="184"/>
      <c r="BG231" s="184"/>
      <c r="BH231" s="184"/>
      <c r="BI231" s="184"/>
      <c r="BJ231" s="184" t="s">
        <v>310</v>
      </c>
      <c r="BK231" s="184"/>
      <c r="BL231" s="184"/>
      <c r="BM231" s="184"/>
      <c r="BN231" s="184"/>
      <c r="BO231" s="184" t="s">
        <v>311</v>
      </c>
      <c r="BP231" s="184"/>
      <c r="BQ231" s="184"/>
      <c r="BR231" s="184"/>
      <c r="BS231" s="189"/>
    </row>
    <row r="232" spans="3:71" ht="15" x14ac:dyDescent="0.2">
      <c r="C232" s="364" t="s">
        <v>72</v>
      </c>
      <c r="D232" s="365"/>
      <c r="E232" s="366"/>
      <c r="F232" s="246"/>
      <c r="G232" s="221"/>
      <c r="H232" s="221"/>
      <c r="I232" s="221"/>
      <c r="J232" s="221"/>
      <c r="K232" s="221"/>
      <c r="L232" s="221"/>
      <c r="M232" s="363"/>
      <c r="N232" s="438"/>
      <c r="O232" s="219"/>
      <c r="P232" s="219"/>
      <c r="AJ232" s="182" t="s">
        <v>312</v>
      </c>
      <c r="AK232" s="123"/>
      <c r="AL232" s="123"/>
      <c r="AM232" s="123"/>
      <c r="AN232" s="123"/>
      <c r="AO232" s="123"/>
      <c r="AP232" s="123" t="s">
        <v>313</v>
      </c>
      <c r="AQ232" s="123"/>
      <c r="AR232" s="123"/>
      <c r="AS232" s="123"/>
      <c r="AT232" s="123"/>
      <c r="AU232" s="123" t="s">
        <v>314</v>
      </c>
      <c r="AV232" s="123"/>
      <c r="AW232" s="123"/>
      <c r="AX232" s="123"/>
      <c r="AY232" s="123"/>
      <c r="AZ232" s="123" t="s">
        <v>315</v>
      </c>
      <c r="BA232" s="123"/>
      <c r="BB232" s="123"/>
      <c r="BC232" s="123"/>
      <c r="BD232" s="123"/>
      <c r="BE232" s="123" t="s">
        <v>316</v>
      </c>
      <c r="BF232" s="123"/>
      <c r="BG232" s="123"/>
      <c r="BH232" s="123"/>
      <c r="BI232" s="123"/>
      <c r="BJ232" s="123" t="s">
        <v>316</v>
      </c>
      <c r="BK232" s="123"/>
      <c r="BL232" s="123"/>
      <c r="BM232" s="123"/>
      <c r="BN232" s="123"/>
      <c r="BO232" s="123" t="s">
        <v>315</v>
      </c>
      <c r="BP232" s="123"/>
      <c r="BQ232" s="123"/>
      <c r="BR232" s="123"/>
      <c r="BS232" s="190"/>
    </row>
    <row r="233" spans="3:71" ht="15.75" thickBot="1" x14ac:dyDescent="0.25">
      <c r="C233" s="367"/>
      <c r="D233" s="368"/>
      <c r="E233" s="369"/>
      <c r="F233" s="247"/>
      <c r="G233" s="221"/>
      <c r="H233" s="221"/>
      <c r="I233" s="221"/>
      <c r="J233" s="221"/>
      <c r="K233" s="221"/>
      <c r="L233" s="221"/>
      <c r="M233" s="363"/>
      <c r="N233" s="439"/>
      <c r="O233" s="219"/>
      <c r="P233" s="219"/>
      <c r="AJ233" s="185" t="s">
        <v>317</v>
      </c>
      <c r="AK233" s="186"/>
      <c r="AL233" s="186"/>
      <c r="AM233" s="186"/>
      <c r="AN233" s="186"/>
      <c r="AO233" s="186"/>
      <c r="AP233" s="186" t="s">
        <v>318</v>
      </c>
      <c r="AQ233" s="186"/>
      <c r="AR233" s="186"/>
      <c r="AS233" s="186"/>
      <c r="AT233" s="186"/>
      <c r="AU233" s="186" t="s">
        <v>319</v>
      </c>
      <c r="AV233" s="186"/>
      <c r="AW233" s="186"/>
      <c r="AX233" s="186"/>
      <c r="AY233" s="186"/>
      <c r="AZ233" s="186" t="s">
        <v>320</v>
      </c>
      <c r="BA233" s="186"/>
      <c r="BB233" s="186"/>
      <c r="BC233" s="186"/>
      <c r="BD233" s="186"/>
      <c r="BE233" s="186" t="s">
        <v>321</v>
      </c>
      <c r="BF233" s="186"/>
      <c r="BG233" s="186"/>
      <c r="BH233" s="186"/>
      <c r="BI233" s="186"/>
      <c r="BJ233" s="186" t="s">
        <v>321</v>
      </c>
      <c r="BK233" s="186"/>
      <c r="BL233" s="186"/>
      <c r="BM233" s="186"/>
      <c r="BN233" s="186"/>
      <c r="BO233" s="186" t="s">
        <v>322</v>
      </c>
      <c r="BP233" s="186"/>
      <c r="BQ233" s="186"/>
      <c r="BR233" s="186"/>
      <c r="BS233" s="188"/>
    </row>
    <row r="234" spans="3:71" ht="15.75" thickBot="1" x14ac:dyDescent="0.25">
      <c r="C234" s="370"/>
      <c r="D234" s="371"/>
      <c r="E234" s="372"/>
      <c r="F234" s="248"/>
      <c r="G234" s="221"/>
      <c r="H234" s="221"/>
      <c r="I234" s="221"/>
      <c r="J234" s="221"/>
      <c r="K234" s="221"/>
      <c r="L234" s="221"/>
      <c r="M234" s="363"/>
      <c r="N234" s="440"/>
      <c r="O234" s="219"/>
      <c r="P234" s="219"/>
      <c r="AJ234" s="401" t="s">
        <v>323</v>
      </c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3"/>
    </row>
    <row r="235" spans="3:71" ht="15.75" thickBot="1" x14ac:dyDescent="0.25">
      <c r="C235" s="364" t="s">
        <v>73</v>
      </c>
      <c r="D235" s="365"/>
      <c r="E235" s="366"/>
      <c r="F235" s="246"/>
      <c r="G235" s="221"/>
      <c r="H235" s="221"/>
      <c r="I235" s="221"/>
      <c r="J235" s="221"/>
      <c r="K235" s="221"/>
      <c r="L235" s="221"/>
      <c r="M235" s="363"/>
      <c r="N235" s="438"/>
      <c r="O235" s="219"/>
      <c r="P235" s="219"/>
      <c r="AJ235" s="401" t="s">
        <v>279</v>
      </c>
      <c r="AK235" s="402"/>
      <c r="AL235" s="402"/>
      <c r="AM235" s="402"/>
      <c r="AN235" s="402"/>
      <c r="AO235" s="402"/>
      <c r="AP235" s="192" t="s">
        <v>280</v>
      </c>
      <c r="AQ235" s="192"/>
      <c r="AR235" s="192"/>
      <c r="AS235" s="192"/>
      <c r="AT235" s="192"/>
      <c r="AU235" s="192" t="s">
        <v>281</v>
      </c>
      <c r="AV235" s="192"/>
      <c r="AW235" s="192"/>
      <c r="AX235" s="192"/>
      <c r="AY235" s="192"/>
      <c r="AZ235" s="192" t="s">
        <v>282</v>
      </c>
      <c r="BA235" s="192"/>
      <c r="BB235" s="192"/>
      <c r="BC235" s="192"/>
      <c r="BD235" s="192"/>
      <c r="BE235" s="192" t="s">
        <v>283</v>
      </c>
      <c r="BF235" s="192"/>
      <c r="BG235" s="192"/>
      <c r="BH235" s="192"/>
      <c r="BI235" s="192"/>
      <c r="BJ235" s="192" t="s">
        <v>284</v>
      </c>
      <c r="BK235" s="192"/>
      <c r="BL235" s="192"/>
      <c r="BM235" s="192"/>
      <c r="BN235" s="192"/>
      <c r="BO235" s="192" t="s">
        <v>285</v>
      </c>
      <c r="BP235" s="192"/>
      <c r="BQ235" s="192"/>
      <c r="BR235" s="192"/>
      <c r="BS235" s="193"/>
    </row>
    <row r="236" spans="3:71" ht="15" x14ac:dyDescent="0.2">
      <c r="C236" s="367"/>
      <c r="D236" s="368"/>
      <c r="E236" s="369"/>
      <c r="F236" s="247"/>
      <c r="G236" s="221"/>
      <c r="H236" s="221"/>
      <c r="I236" s="221"/>
      <c r="J236" s="221"/>
      <c r="K236" s="221"/>
      <c r="L236" s="221"/>
      <c r="M236" s="363"/>
      <c r="N236" s="439"/>
      <c r="O236" s="219"/>
      <c r="P236" s="219"/>
      <c r="AJ236" s="393" t="s">
        <v>141</v>
      </c>
      <c r="AK236" s="394"/>
      <c r="AL236" s="394"/>
      <c r="AM236" s="394"/>
      <c r="AN236" s="394"/>
      <c r="AO236" s="394"/>
      <c r="AP236" s="181" t="s">
        <v>324</v>
      </c>
      <c r="AQ236" s="181"/>
      <c r="AR236" s="181"/>
      <c r="AS236" s="181"/>
      <c r="AT236" s="181"/>
      <c r="AU236" s="181" t="s">
        <v>304</v>
      </c>
      <c r="AV236" s="181"/>
      <c r="AW236" s="181"/>
      <c r="AX236" s="181"/>
      <c r="AY236" s="181"/>
      <c r="AZ236" s="181" t="s">
        <v>325</v>
      </c>
      <c r="BA236" s="181"/>
      <c r="BB236" s="181"/>
      <c r="BC236" s="181"/>
      <c r="BD236" s="181"/>
      <c r="BE236" s="181" t="s">
        <v>326</v>
      </c>
      <c r="BF236" s="181"/>
      <c r="BG236" s="181"/>
      <c r="BH236" s="181"/>
      <c r="BI236" s="181"/>
      <c r="BJ236" s="181" t="s">
        <v>327</v>
      </c>
      <c r="BK236" s="181"/>
      <c r="BL236" s="181"/>
      <c r="BM236" s="181"/>
      <c r="BN236" s="181"/>
      <c r="BO236" s="181" t="s">
        <v>328</v>
      </c>
      <c r="BP236" s="181"/>
      <c r="BQ236" s="181"/>
      <c r="BR236" s="181"/>
      <c r="BS236" s="191"/>
    </row>
    <row r="237" spans="3:71" ht="15.75" thickBot="1" x14ac:dyDescent="0.25">
      <c r="C237" s="370"/>
      <c r="D237" s="371"/>
      <c r="E237" s="372"/>
      <c r="F237" s="248"/>
      <c r="G237" s="221"/>
      <c r="H237" s="221"/>
      <c r="I237" s="221"/>
      <c r="J237" s="221"/>
      <c r="K237" s="221"/>
      <c r="L237" s="221"/>
      <c r="M237" s="363"/>
      <c r="N237" s="440"/>
      <c r="O237" s="219"/>
      <c r="P237" s="219"/>
      <c r="AJ237" s="380" t="s">
        <v>140</v>
      </c>
      <c r="AK237" s="392"/>
      <c r="AL237" s="392"/>
      <c r="AM237" s="392"/>
      <c r="AN237" s="392"/>
      <c r="AO237" s="392"/>
      <c r="AP237" s="123" t="s">
        <v>329</v>
      </c>
      <c r="AQ237" s="123"/>
      <c r="AR237" s="123"/>
      <c r="AS237" s="123"/>
      <c r="AT237" s="123"/>
      <c r="AU237" s="123" t="s">
        <v>295</v>
      </c>
      <c r="AV237" s="123"/>
      <c r="AW237" s="123"/>
      <c r="AX237" s="123"/>
      <c r="AY237" s="123"/>
      <c r="AZ237" s="123" t="s">
        <v>330</v>
      </c>
      <c r="BA237" s="123"/>
      <c r="BB237" s="123"/>
      <c r="BC237" s="123"/>
      <c r="BD237" s="123"/>
      <c r="BE237" s="123" t="s">
        <v>331</v>
      </c>
      <c r="BF237" s="123"/>
      <c r="BG237" s="123"/>
      <c r="BH237" s="123"/>
      <c r="BI237" s="123"/>
      <c r="BJ237" s="123" t="s">
        <v>332</v>
      </c>
      <c r="BK237" s="123"/>
      <c r="BL237" s="123"/>
      <c r="BM237" s="123"/>
      <c r="BN237" s="123"/>
      <c r="BO237" s="123" t="s">
        <v>333</v>
      </c>
      <c r="BP237" s="123"/>
      <c r="BQ237" s="123"/>
      <c r="BR237" s="123"/>
      <c r="BS237" s="190"/>
    </row>
    <row r="238" spans="3:71" ht="15" x14ac:dyDescent="0.2">
      <c r="C238" s="364" t="s">
        <v>74</v>
      </c>
      <c r="D238" s="365"/>
      <c r="E238" s="366"/>
      <c r="F238" s="246"/>
      <c r="G238" s="221"/>
      <c r="H238" s="221"/>
      <c r="I238" s="221"/>
      <c r="J238" s="221"/>
      <c r="K238" s="221"/>
      <c r="L238" s="221"/>
      <c r="M238" s="363"/>
      <c r="N238" s="438"/>
      <c r="O238" s="219"/>
      <c r="P238" s="219"/>
      <c r="AJ238" s="378" t="s">
        <v>298</v>
      </c>
      <c r="AK238" s="391"/>
      <c r="AL238" s="391"/>
      <c r="AM238" s="391"/>
      <c r="AN238" s="391"/>
      <c r="AO238" s="391"/>
      <c r="AP238" s="184" t="s">
        <v>334</v>
      </c>
      <c r="AQ238" s="184"/>
      <c r="AR238" s="184"/>
      <c r="AS238" s="184"/>
      <c r="AT238" s="184"/>
      <c r="AU238" s="184" t="s">
        <v>300</v>
      </c>
      <c r="AV238" s="184"/>
      <c r="AW238" s="184"/>
      <c r="AX238" s="184"/>
      <c r="AY238" s="184"/>
      <c r="AZ238" s="184" t="s">
        <v>332</v>
      </c>
      <c r="BA238" s="184"/>
      <c r="BB238" s="184"/>
      <c r="BC238" s="184"/>
      <c r="BD238" s="184"/>
      <c r="BE238" s="184" t="s">
        <v>335</v>
      </c>
      <c r="BF238" s="184"/>
      <c r="BG238" s="184"/>
      <c r="BH238" s="184"/>
      <c r="BI238" s="184"/>
      <c r="BJ238" s="184" t="s">
        <v>315</v>
      </c>
      <c r="BK238" s="184"/>
      <c r="BL238" s="184"/>
      <c r="BM238" s="184"/>
      <c r="BN238" s="184"/>
      <c r="BO238" s="184" t="s">
        <v>315</v>
      </c>
      <c r="BP238" s="184"/>
      <c r="BQ238" s="184"/>
      <c r="BR238" s="184"/>
      <c r="BS238" s="189"/>
    </row>
    <row r="239" spans="3:71" ht="15" x14ac:dyDescent="0.2">
      <c r="C239" s="367"/>
      <c r="D239" s="368"/>
      <c r="E239" s="369"/>
      <c r="F239" s="247"/>
      <c r="G239" s="221"/>
      <c r="H239" s="221"/>
      <c r="I239" s="221"/>
      <c r="J239" s="221"/>
      <c r="K239" s="221"/>
      <c r="L239" s="221"/>
      <c r="M239" s="363"/>
      <c r="N239" s="439"/>
      <c r="O239" s="219"/>
      <c r="P239" s="219"/>
      <c r="AJ239" s="380" t="s">
        <v>303</v>
      </c>
      <c r="AK239" s="392"/>
      <c r="AL239" s="392"/>
      <c r="AM239" s="392"/>
      <c r="AN239" s="392"/>
      <c r="AO239" s="392"/>
      <c r="AP239" s="123" t="s">
        <v>331</v>
      </c>
      <c r="AQ239" s="123"/>
      <c r="AR239" s="123"/>
      <c r="AS239" s="123"/>
      <c r="AT239" s="123"/>
      <c r="AU239" s="123" t="s">
        <v>305</v>
      </c>
      <c r="AV239" s="123"/>
      <c r="AW239" s="123"/>
      <c r="AX239" s="123"/>
      <c r="AY239" s="123"/>
      <c r="AZ239" s="123" t="s">
        <v>315</v>
      </c>
      <c r="BA239" s="123"/>
      <c r="BB239" s="123"/>
      <c r="BC239" s="123"/>
      <c r="BD239" s="123"/>
      <c r="BE239" s="123" t="s">
        <v>336</v>
      </c>
      <c r="BF239" s="123"/>
      <c r="BG239" s="123"/>
      <c r="BH239" s="123"/>
      <c r="BI239" s="123"/>
      <c r="BJ239" s="123" t="s">
        <v>337</v>
      </c>
      <c r="BK239" s="123"/>
      <c r="BL239" s="123"/>
      <c r="BM239" s="123"/>
      <c r="BN239" s="123"/>
      <c r="BO239" s="123" t="s">
        <v>337</v>
      </c>
      <c r="BP239" s="123"/>
      <c r="BQ239" s="123"/>
      <c r="BR239" s="123"/>
      <c r="BS239" s="190"/>
    </row>
    <row r="240" spans="3:71" ht="15.75" thickBot="1" x14ac:dyDescent="0.25">
      <c r="C240" s="370"/>
      <c r="D240" s="371"/>
      <c r="E240" s="372"/>
      <c r="F240" s="248"/>
      <c r="G240" s="221"/>
      <c r="H240" s="221"/>
      <c r="I240" s="221"/>
      <c r="J240" s="221"/>
      <c r="K240" s="221"/>
      <c r="L240" s="221"/>
      <c r="M240" s="363"/>
      <c r="N240" s="440"/>
      <c r="O240" s="219"/>
      <c r="P240" s="219"/>
      <c r="AJ240" s="378" t="s">
        <v>307</v>
      </c>
      <c r="AK240" s="391"/>
      <c r="AL240" s="391"/>
      <c r="AM240" s="391"/>
      <c r="AN240" s="391"/>
      <c r="AO240" s="391"/>
      <c r="AP240" s="184" t="s">
        <v>335</v>
      </c>
      <c r="AQ240" s="184"/>
      <c r="AR240" s="184"/>
      <c r="AS240" s="184"/>
      <c r="AT240" s="184"/>
      <c r="AU240" s="184" t="s">
        <v>315</v>
      </c>
      <c r="AV240" s="184"/>
      <c r="AW240" s="184"/>
      <c r="AX240" s="184"/>
      <c r="AY240" s="184"/>
      <c r="AZ240" s="184" t="s">
        <v>337</v>
      </c>
      <c r="BA240" s="184"/>
      <c r="BB240" s="184"/>
      <c r="BC240" s="184"/>
      <c r="BD240" s="184"/>
      <c r="BE240" s="184" t="s">
        <v>338</v>
      </c>
      <c r="BF240" s="184"/>
      <c r="BG240" s="184"/>
      <c r="BH240" s="184"/>
      <c r="BI240" s="184"/>
      <c r="BJ240" s="184" t="s">
        <v>339</v>
      </c>
      <c r="BK240" s="184"/>
      <c r="BL240" s="184"/>
      <c r="BM240" s="184"/>
      <c r="BN240" s="184"/>
      <c r="BO240" s="184" t="s">
        <v>338</v>
      </c>
      <c r="BP240" s="184"/>
      <c r="BQ240" s="184"/>
      <c r="BR240" s="184"/>
      <c r="BS240" s="189"/>
    </row>
    <row r="241" spans="3:71" ht="15" x14ac:dyDescent="0.2">
      <c r="C241" s="364" t="s">
        <v>75</v>
      </c>
      <c r="D241" s="365"/>
      <c r="E241" s="366"/>
      <c r="F241" s="246"/>
      <c r="G241" s="221"/>
      <c r="H241" s="221"/>
      <c r="I241" s="221"/>
      <c r="J241" s="221"/>
      <c r="K241" s="221"/>
      <c r="L241" s="221"/>
      <c r="M241" s="363"/>
      <c r="N241" s="438"/>
      <c r="O241" s="219"/>
      <c r="P241" s="219"/>
      <c r="AJ241" s="380" t="s">
        <v>312</v>
      </c>
      <c r="AK241" s="392"/>
      <c r="AL241" s="392"/>
      <c r="AM241" s="392"/>
      <c r="AN241" s="392"/>
      <c r="AO241" s="392"/>
      <c r="AP241" s="123" t="s">
        <v>336</v>
      </c>
      <c r="AQ241" s="123"/>
      <c r="AR241" s="123"/>
      <c r="AS241" s="123"/>
      <c r="AT241" s="123"/>
      <c r="AU241" s="123" t="s">
        <v>340</v>
      </c>
      <c r="AV241" s="123"/>
      <c r="AW241" s="123"/>
      <c r="AX241" s="123"/>
      <c r="AY241" s="123"/>
      <c r="AZ241" s="123" t="s">
        <v>341</v>
      </c>
      <c r="BA241" s="123"/>
      <c r="BB241" s="123"/>
      <c r="BC241" s="123"/>
      <c r="BD241" s="123"/>
      <c r="BE241" s="123" t="s">
        <v>358</v>
      </c>
      <c r="BF241" s="123"/>
      <c r="BG241" s="123"/>
      <c r="BH241" s="123"/>
      <c r="BI241" s="123"/>
      <c r="BJ241" s="123" t="s">
        <v>342</v>
      </c>
      <c r="BK241" s="123"/>
      <c r="BL241" s="123"/>
      <c r="BM241" s="123"/>
      <c r="BN241" s="123"/>
      <c r="BO241" s="123" t="s">
        <v>343</v>
      </c>
      <c r="BP241" s="123"/>
      <c r="BQ241" s="123"/>
      <c r="BR241" s="123"/>
      <c r="BS241" s="190"/>
    </row>
    <row r="242" spans="3:71" ht="15.75" thickBot="1" x14ac:dyDescent="0.25">
      <c r="C242" s="367"/>
      <c r="D242" s="368"/>
      <c r="E242" s="369"/>
      <c r="F242" s="247"/>
      <c r="G242" s="221"/>
      <c r="H242" s="221"/>
      <c r="I242" s="221"/>
      <c r="J242" s="221"/>
      <c r="K242" s="221"/>
      <c r="L242" s="221"/>
      <c r="M242" s="363"/>
      <c r="N242" s="439"/>
      <c r="O242" s="219"/>
      <c r="P242" s="219"/>
      <c r="AJ242" s="387" t="s">
        <v>317</v>
      </c>
      <c r="AK242" s="388"/>
      <c r="AL242" s="388"/>
      <c r="AM242" s="388"/>
      <c r="AN242" s="388"/>
      <c r="AO242" s="388"/>
      <c r="AP242" s="186" t="s">
        <v>344</v>
      </c>
      <c r="AQ242" s="186"/>
      <c r="AR242" s="186"/>
      <c r="AS242" s="186"/>
      <c r="AT242" s="186"/>
      <c r="AU242" s="186" t="s">
        <v>345</v>
      </c>
      <c r="AV242" s="186"/>
      <c r="AW242" s="186"/>
      <c r="AX242" s="186"/>
      <c r="AY242" s="186"/>
      <c r="AZ242" s="186" t="s">
        <v>346</v>
      </c>
      <c r="BA242" s="186"/>
      <c r="BB242" s="186"/>
      <c r="BC242" s="186"/>
      <c r="BD242" s="186"/>
      <c r="BE242" s="186" t="s">
        <v>357</v>
      </c>
      <c r="BF242" s="186"/>
      <c r="BG242" s="186"/>
      <c r="BH242" s="186"/>
      <c r="BI242" s="186"/>
      <c r="BJ242" s="186" t="s">
        <v>347</v>
      </c>
      <c r="BK242" s="186"/>
      <c r="BL242" s="186"/>
      <c r="BM242" s="186"/>
      <c r="BN242" s="186"/>
      <c r="BO242" s="186" t="s">
        <v>348</v>
      </c>
      <c r="BP242" s="186"/>
      <c r="BQ242" s="186"/>
      <c r="BR242" s="186"/>
      <c r="BS242" s="188"/>
    </row>
    <row r="243" spans="3:71" ht="15.75" thickBot="1" x14ac:dyDescent="0.25">
      <c r="C243" s="370"/>
      <c r="D243" s="371"/>
      <c r="E243" s="372"/>
      <c r="F243" s="248"/>
      <c r="G243" s="221"/>
      <c r="H243" s="221"/>
      <c r="I243" s="221"/>
      <c r="J243" s="221"/>
      <c r="K243" s="221"/>
      <c r="L243" s="221"/>
      <c r="M243" s="363"/>
      <c r="N243" s="440"/>
      <c r="O243" s="219"/>
      <c r="P243" s="219"/>
    </row>
    <row r="244" spans="3:71" ht="15" x14ac:dyDescent="0.2">
      <c r="C244" s="364" t="s">
        <v>76</v>
      </c>
      <c r="D244" s="365"/>
      <c r="E244" s="366"/>
      <c r="F244" s="246"/>
      <c r="G244" s="221"/>
      <c r="H244" s="221"/>
      <c r="I244" s="221"/>
      <c r="J244" s="221"/>
      <c r="K244" s="221"/>
      <c r="L244" s="221"/>
      <c r="M244" s="363"/>
      <c r="N244" s="438"/>
      <c r="O244" s="219"/>
      <c r="P244" s="219"/>
    </row>
    <row r="245" spans="3:71" ht="15" x14ac:dyDescent="0.2">
      <c r="C245" s="367"/>
      <c r="D245" s="368"/>
      <c r="E245" s="369"/>
      <c r="F245" s="247"/>
      <c r="G245" s="221"/>
      <c r="H245" s="221"/>
      <c r="I245" s="221"/>
      <c r="J245" s="221"/>
      <c r="K245" s="221"/>
      <c r="L245" s="221"/>
      <c r="M245" s="363"/>
      <c r="N245" s="439"/>
      <c r="O245" s="219"/>
      <c r="P245" s="219"/>
      <c r="AJ245" s="389" t="s">
        <v>349</v>
      </c>
      <c r="AK245" s="390"/>
      <c r="AL245" s="390"/>
      <c r="BB245" s="395" t="s">
        <v>350</v>
      </c>
      <c r="BC245" s="395"/>
      <c r="BD245" s="395"/>
    </row>
    <row r="246" spans="3:71" ht="15.75" thickBot="1" x14ac:dyDescent="0.25">
      <c r="C246" s="370"/>
      <c r="D246" s="371"/>
      <c r="E246" s="372"/>
      <c r="F246" s="248"/>
      <c r="G246" s="221"/>
      <c r="H246" s="221"/>
      <c r="I246" s="221"/>
      <c r="J246" s="221"/>
      <c r="K246" s="221"/>
      <c r="L246" s="221"/>
      <c r="M246" s="363"/>
      <c r="N246" s="440"/>
      <c r="O246" s="219"/>
      <c r="P246" s="219"/>
      <c r="AJ246" s="194"/>
      <c r="AK246" s="195"/>
      <c r="AL246" s="195" t="s">
        <v>351</v>
      </c>
      <c r="AM246" s="187"/>
      <c r="AN246" s="187"/>
      <c r="AO246" s="187"/>
      <c r="AP246" s="106"/>
      <c r="BC246" s="195" t="s">
        <v>351</v>
      </c>
    </row>
    <row r="247" spans="3:71" ht="15" x14ac:dyDescent="0.2">
      <c r="C247" s="416" t="s">
        <v>77</v>
      </c>
      <c r="D247" s="417"/>
      <c r="E247" s="418"/>
      <c r="F247" s="246"/>
      <c r="G247" s="221"/>
      <c r="H247" s="221"/>
      <c r="I247" s="221"/>
      <c r="J247" s="221"/>
      <c r="K247" s="221"/>
      <c r="L247" s="221"/>
      <c r="M247" s="363"/>
      <c r="N247" s="438"/>
      <c r="O247" s="219"/>
      <c r="P247" s="219"/>
      <c r="AL247" s="201">
        <v>4</v>
      </c>
      <c r="AM247" s="378" t="s">
        <v>141</v>
      </c>
      <c r="AN247" s="379"/>
      <c r="AO247" s="106"/>
      <c r="AP247" s="106"/>
      <c r="BB247" s="209">
        <v>13</v>
      </c>
      <c r="BC247" s="396" t="s">
        <v>141</v>
      </c>
      <c r="BD247" s="397"/>
    </row>
    <row r="248" spans="3:71" ht="15" x14ac:dyDescent="0.2">
      <c r="C248" s="419"/>
      <c r="D248" s="363"/>
      <c r="E248" s="420"/>
      <c r="F248" s="247"/>
      <c r="G248" s="221"/>
      <c r="H248" s="221"/>
      <c r="I248" s="221"/>
      <c r="J248" s="221"/>
      <c r="K248" s="221"/>
      <c r="L248" s="221"/>
      <c r="M248" s="363"/>
      <c r="N248" s="439"/>
      <c r="O248" s="219"/>
      <c r="P248" s="219"/>
      <c r="AL248" s="202">
        <v>8</v>
      </c>
      <c r="AM248" s="380" t="s">
        <v>140</v>
      </c>
      <c r="AN248" s="381"/>
      <c r="AO248" s="106"/>
      <c r="AP248" s="106"/>
      <c r="BB248" s="210">
        <v>17</v>
      </c>
      <c r="BC248" s="398" t="s">
        <v>140</v>
      </c>
      <c r="BD248" s="399"/>
    </row>
    <row r="249" spans="3:71" ht="15.75" thickBot="1" x14ac:dyDescent="0.25">
      <c r="C249" s="421"/>
      <c r="D249" s="413"/>
      <c r="E249" s="422"/>
      <c r="F249" s="248"/>
      <c r="G249" s="221"/>
      <c r="H249" s="221"/>
      <c r="I249" s="221"/>
      <c r="J249" s="221"/>
      <c r="K249" s="221"/>
      <c r="L249" s="221"/>
      <c r="M249" s="363"/>
      <c r="N249" s="440"/>
      <c r="O249" s="219"/>
      <c r="P249" s="219"/>
      <c r="AL249" s="203">
        <v>12</v>
      </c>
      <c r="AM249" s="378" t="s">
        <v>298</v>
      </c>
      <c r="AN249" s="382"/>
      <c r="AO249" s="106"/>
      <c r="AP249" s="106"/>
      <c r="BB249" s="211">
        <v>20</v>
      </c>
      <c r="BC249" s="396" t="s">
        <v>298</v>
      </c>
      <c r="BD249" s="400"/>
    </row>
    <row r="250" spans="3:71" ht="15" x14ac:dyDescent="0.2">
      <c r="C250" s="364" t="s">
        <v>78</v>
      </c>
      <c r="D250" s="365"/>
      <c r="E250" s="366"/>
      <c r="F250" s="246"/>
      <c r="G250" s="221"/>
      <c r="H250" s="221"/>
      <c r="I250" s="221"/>
      <c r="J250" s="221"/>
      <c r="K250" s="221"/>
      <c r="L250" s="221"/>
      <c r="M250" s="363"/>
      <c r="N250" s="438"/>
      <c r="O250" s="219"/>
      <c r="P250" s="219"/>
      <c r="AL250" s="202">
        <v>14</v>
      </c>
      <c r="AM250" s="380" t="s">
        <v>303</v>
      </c>
      <c r="AN250" s="381"/>
      <c r="AO250" s="106"/>
      <c r="AP250" s="106"/>
      <c r="AX250" s="42" t="s">
        <v>138</v>
      </c>
      <c r="BB250" s="210">
        <v>23</v>
      </c>
      <c r="BC250" s="398" t="s">
        <v>303</v>
      </c>
      <c r="BD250" s="399"/>
    </row>
    <row r="251" spans="3:71" ht="15" x14ac:dyDescent="0.2">
      <c r="C251" s="367"/>
      <c r="D251" s="368"/>
      <c r="E251" s="369"/>
      <c r="F251" s="247"/>
      <c r="G251" s="221"/>
      <c r="H251" s="221"/>
      <c r="I251" s="221"/>
      <c r="J251" s="221"/>
      <c r="K251" s="221"/>
      <c r="L251" s="221"/>
      <c r="M251" s="363"/>
      <c r="N251" s="439"/>
      <c r="O251" s="219"/>
      <c r="P251" s="219"/>
      <c r="AL251" s="203">
        <v>14</v>
      </c>
      <c r="AM251" s="378" t="s">
        <v>307</v>
      </c>
      <c r="AN251" s="382"/>
      <c r="AO251" s="106"/>
      <c r="AP251" s="106"/>
      <c r="AV251" s="42" t="s">
        <v>133</v>
      </c>
      <c r="AX251" s="216" t="str">
        <f>F98</f>
        <v>-</v>
      </c>
      <c r="BB251" s="211">
        <v>26</v>
      </c>
      <c r="BC251" s="396" t="s">
        <v>307</v>
      </c>
      <c r="BD251" s="400"/>
    </row>
    <row r="252" spans="3:71" ht="15.75" thickBot="1" x14ac:dyDescent="0.25">
      <c r="C252" s="370"/>
      <c r="D252" s="371"/>
      <c r="E252" s="372"/>
      <c r="F252" s="248"/>
      <c r="G252" s="221"/>
      <c r="H252" s="221"/>
      <c r="I252" s="221"/>
      <c r="J252" s="221"/>
      <c r="K252" s="221"/>
      <c r="L252" s="221"/>
      <c r="M252" s="363"/>
      <c r="N252" s="440"/>
      <c r="O252" s="219"/>
      <c r="P252" s="219"/>
      <c r="AL252" s="202">
        <v>20</v>
      </c>
      <c r="AM252" s="380" t="s">
        <v>312</v>
      </c>
      <c r="AN252" s="381"/>
      <c r="AO252" s="106"/>
      <c r="AP252" s="106"/>
      <c r="AT252" s="42" t="s">
        <v>132</v>
      </c>
      <c r="AV252" s="196" t="str">
        <f>N9</f>
        <v>-</v>
      </c>
      <c r="BB252" s="210">
        <v>29</v>
      </c>
      <c r="BC252" s="398" t="s">
        <v>312</v>
      </c>
      <c r="BD252" s="399"/>
    </row>
    <row r="253" spans="3:71" ht="15.75" thickBot="1" x14ac:dyDescent="0.25">
      <c r="C253" s="416" t="s">
        <v>79</v>
      </c>
      <c r="D253" s="417"/>
      <c r="E253" s="418"/>
      <c r="F253" s="246"/>
      <c r="G253" s="221"/>
      <c r="H253" s="221"/>
      <c r="I253" s="221"/>
      <c r="J253" s="221"/>
      <c r="K253" s="221"/>
      <c r="L253" s="221"/>
      <c r="M253" s="363"/>
      <c r="N253" s="438"/>
      <c r="O253" s="219"/>
      <c r="P253" s="219"/>
      <c r="AL253" s="204">
        <v>26</v>
      </c>
      <c r="AM253" s="378" t="s">
        <v>317</v>
      </c>
      <c r="AN253" s="382"/>
      <c r="AO253" s="106"/>
      <c r="AP253" s="106"/>
      <c r="AT253" s="42">
        <f>IF(L9="feminino",0,1)</f>
        <v>1</v>
      </c>
      <c r="BB253" s="212">
        <v>33</v>
      </c>
      <c r="BC253" s="396" t="s">
        <v>317</v>
      </c>
      <c r="BD253" s="400"/>
    </row>
    <row r="254" spans="3:71" ht="15.75" thickBot="1" x14ac:dyDescent="0.25">
      <c r="C254" s="419"/>
      <c r="D254" s="363"/>
      <c r="E254" s="420"/>
      <c r="F254" s="247"/>
      <c r="G254" s="221"/>
      <c r="H254" s="221"/>
      <c r="I254" s="221"/>
      <c r="J254" s="221"/>
      <c r="K254" s="221"/>
      <c r="L254" s="221"/>
      <c r="M254" s="363"/>
      <c r="N254" s="439"/>
      <c r="O254" s="219"/>
      <c r="P254" s="219"/>
      <c r="AN254" s="106"/>
      <c r="AO254" s="106"/>
      <c r="AP254" s="106"/>
    </row>
    <row r="255" spans="3:71" ht="15.75" thickBot="1" x14ac:dyDescent="0.25">
      <c r="C255" s="421"/>
      <c r="D255" s="413"/>
      <c r="E255" s="422"/>
      <c r="F255" s="248"/>
      <c r="G255" s="221"/>
      <c r="H255" s="221"/>
      <c r="I255" s="221"/>
      <c r="J255" s="221"/>
      <c r="K255" s="221"/>
      <c r="L255" s="221"/>
      <c r="M255" s="363"/>
      <c r="N255" s="440"/>
      <c r="O255" s="219"/>
      <c r="P255" s="219"/>
      <c r="AJ255" s="194"/>
      <c r="AK255" s="195"/>
      <c r="AL255" s="192" t="s">
        <v>352</v>
      </c>
      <c r="AN255" s="187"/>
      <c r="AO255" s="187"/>
      <c r="AP255" s="106"/>
      <c r="BC255" s="192" t="s">
        <v>352</v>
      </c>
    </row>
    <row r="256" spans="3:71" ht="15" x14ac:dyDescent="0.2">
      <c r="C256" s="367" t="s">
        <v>80</v>
      </c>
      <c r="D256" s="368"/>
      <c r="E256" s="368"/>
      <c r="F256" s="246"/>
      <c r="G256" s="221"/>
      <c r="H256" s="221"/>
      <c r="I256" s="221"/>
      <c r="J256" s="221"/>
      <c r="K256" s="221"/>
      <c r="L256" s="221"/>
      <c r="M256" s="363"/>
      <c r="N256" s="438"/>
      <c r="O256" s="219"/>
      <c r="P256" s="219"/>
      <c r="AL256" s="197">
        <v>8</v>
      </c>
      <c r="AM256" s="378" t="s">
        <v>141</v>
      </c>
      <c r="AN256" s="379"/>
      <c r="AO256" s="119"/>
      <c r="AP256" s="217"/>
      <c r="AT256" s="79"/>
      <c r="AU256" s="79"/>
      <c r="AV256" s="79"/>
      <c r="AW256" s="79"/>
      <c r="BB256" s="205">
        <v>14</v>
      </c>
      <c r="BC256" s="378" t="s">
        <v>141</v>
      </c>
      <c r="BD256" s="379"/>
    </row>
    <row r="257" spans="3:56" ht="15" x14ac:dyDescent="0.2">
      <c r="C257" s="367"/>
      <c r="D257" s="368"/>
      <c r="E257" s="368"/>
      <c r="F257" s="247"/>
      <c r="G257" s="221"/>
      <c r="H257" s="221"/>
      <c r="I257" s="221"/>
      <c r="J257" s="221"/>
      <c r="K257" s="221"/>
      <c r="L257" s="221"/>
      <c r="M257" s="363"/>
      <c r="N257" s="439"/>
      <c r="O257" s="219"/>
      <c r="P257" s="219"/>
      <c r="AL257" s="198">
        <v>12</v>
      </c>
      <c r="AM257" s="380" t="s">
        <v>140</v>
      </c>
      <c r="AN257" s="381"/>
      <c r="AO257" s="119"/>
      <c r="AP257" s="217"/>
      <c r="AT257" s="79"/>
      <c r="AU257" s="79" t="s">
        <v>359</v>
      </c>
      <c r="AV257" s="79"/>
      <c r="AW257" s="79"/>
      <c r="BB257" s="206">
        <v>18</v>
      </c>
      <c r="BC257" s="380" t="s">
        <v>140</v>
      </c>
      <c r="BD257" s="381"/>
    </row>
    <row r="258" spans="3:56" ht="15.75" thickBot="1" x14ac:dyDescent="0.25">
      <c r="C258" s="367"/>
      <c r="D258" s="368"/>
      <c r="E258" s="368"/>
      <c r="F258" s="248"/>
      <c r="G258" s="221"/>
      <c r="H258" s="221"/>
      <c r="I258" s="221"/>
      <c r="J258" s="221"/>
      <c r="K258" s="221"/>
      <c r="L258" s="221"/>
      <c r="M258" s="363"/>
      <c r="N258" s="440"/>
      <c r="O258" s="219"/>
      <c r="P258" s="219"/>
      <c r="Z258" t="s">
        <v>90</v>
      </c>
      <c r="AL258" s="199">
        <v>16</v>
      </c>
      <c r="AM258" s="378" t="s">
        <v>298</v>
      </c>
      <c r="AN258" s="382"/>
      <c r="AO258" s="119"/>
      <c r="AP258" s="217"/>
      <c r="AT258" s="79"/>
      <c r="AU258" s="386" t="e">
        <f>IF(AND(AT253=0,AV252&lt;=25),VLOOKUP(AX251,BB247:BD253,2,TRUE),IF(AND(AT253=0,AV252&lt;=35),VLOOKUP(AX251,BB256:BD262,2,TRUE),IF(AND(AT253=0,AV252&lt;=45),VLOOKUP(AX251,BB265:BD271,2,TRUE),IF(AND(AT253=0,AV252&lt;=55),VLOOKUP(AX251,BB274:BD280,2,TRUE),IF(AND(AT253=0,AV252&lt;=65),VLOOKUP(AX251,BB283:BD289,2,TRUE),IF(AND(AT253=0,AV252&gt;=65),VLOOKUP(AX251,BB292:BD298,2,TRUE),IF(AND(AT253=1,AV252&lt;=25),VLOOKUP(AX251,AL247:AN253,2,TRUE),IF(AND(AT253=1,AV252&lt;=35),VLOOKUP(AX251,AL256:AN262,2,TRUE),IF(AND(AT253=1,AV252&lt;=45),VLOOKUP(AX251,AL265:AN271,2,TRUE),IF(AND(AT253=1,AV252&lt;=55),VLOOKUP(AX251,AL274:AN280,2,TRUE),IF(AND(AT253=1,AV252&lt;=65),VLOOKUP(AX251,AL283:AN289,2,TRUE),IF(AND(AT253=1,AV252&gt;=65),VLOOKUP(AX251,AL292:AN298,2,TRUE),"-"))))))))))))</f>
        <v>#N/A</v>
      </c>
      <c r="AV258" s="386"/>
      <c r="AW258" s="79"/>
      <c r="BB258" s="207">
        <v>21</v>
      </c>
      <c r="BC258" s="378" t="s">
        <v>298</v>
      </c>
      <c r="BD258" s="382"/>
    </row>
    <row r="259" spans="3:56" ht="15" x14ac:dyDescent="0.2">
      <c r="C259" s="364" t="s">
        <v>81</v>
      </c>
      <c r="D259" s="365"/>
      <c r="E259" s="366"/>
      <c r="F259" s="246"/>
      <c r="G259" s="221"/>
      <c r="H259" s="221"/>
      <c r="I259" s="221"/>
      <c r="J259" s="221"/>
      <c r="K259" s="221"/>
      <c r="L259" s="221"/>
      <c r="M259" s="363"/>
      <c r="N259" s="438"/>
      <c r="O259" s="219"/>
      <c r="P259" s="219"/>
      <c r="Y259" s="310">
        <v>0</v>
      </c>
      <c r="Z259" t="s">
        <v>87</v>
      </c>
      <c r="AL259" s="198">
        <v>18</v>
      </c>
      <c r="AM259" s="380" t="s">
        <v>303</v>
      </c>
      <c r="AN259" s="381"/>
      <c r="AO259" s="119"/>
      <c r="AP259" s="217"/>
      <c r="AT259" s="79"/>
      <c r="AU259" s="79"/>
      <c r="AV259" s="79"/>
      <c r="AW259" s="79"/>
      <c r="BB259" s="206">
        <v>24</v>
      </c>
      <c r="BC259" s="380" t="s">
        <v>303</v>
      </c>
      <c r="BD259" s="381"/>
    </row>
    <row r="260" spans="3:56" ht="15" x14ac:dyDescent="0.2">
      <c r="C260" s="367"/>
      <c r="D260" s="368"/>
      <c r="E260" s="369"/>
      <c r="F260" s="247"/>
      <c r="G260" s="221"/>
      <c r="H260" s="221"/>
      <c r="I260" s="221"/>
      <c r="J260" s="221"/>
      <c r="K260" s="221"/>
      <c r="L260" s="221"/>
      <c r="M260" s="363"/>
      <c r="N260" s="439"/>
      <c r="O260" s="219"/>
      <c r="P260" s="219"/>
      <c r="Y260" s="310">
        <v>21</v>
      </c>
      <c r="Z260" t="s">
        <v>63</v>
      </c>
      <c r="AL260" s="199">
        <v>22</v>
      </c>
      <c r="AM260" s="378" t="s">
        <v>307</v>
      </c>
      <c r="AN260" s="382"/>
      <c r="AO260" s="119"/>
      <c r="AP260" s="217"/>
      <c r="BB260" s="207">
        <v>27</v>
      </c>
      <c r="BC260" s="378" t="s">
        <v>307</v>
      </c>
      <c r="BD260" s="382"/>
    </row>
    <row r="261" spans="3:56" ht="15.75" thickBot="1" x14ac:dyDescent="0.25">
      <c r="C261" s="370"/>
      <c r="D261" s="371"/>
      <c r="E261" s="372"/>
      <c r="F261" s="248"/>
      <c r="G261" s="221"/>
      <c r="H261" s="221"/>
      <c r="I261" s="221"/>
      <c r="J261" s="221"/>
      <c r="K261" s="221"/>
      <c r="L261" s="221"/>
      <c r="M261" s="363"/>
      <c r="N261" s="440"/>
      <c r="O261" s="219"/>
      <c r="P261" s="219"/>
      <c r="Y261" s="310">
        <v>31</v>
      </c>
      <c r="Z261" t="s">
        <v>85</v>
      </c>
      <c r="AL261" s="198">
        <v>24</v>
      </c>
      <c r="AM261" s="380" t="s">
        <v>312</v>
      </c>
      <c r="AN261" s="381"/>
      <c r="AO261" s="119"/>
      <c r="AP261" s="217"/>
      <c r="BB261" s="206">
        <v>31</v>
      </c>
      <c r="BC261" s="380" t="s">
        <v>312</v>
      </c>
      <c r="BD261" s="381"/>
    </row>
    <row r="262" spans="3:56" ht="15.75" thickBot="1" x14ac:dyDescent="0.25">
      <c r="C262" s="367" t="s">
        <v>82</v>
      </c>
      <c r="D262" s="368"/>
      <c r="E262" s="368"/>
      <c r="F262" s="246"/>
      <c r="G262" s="221"/>
      <c r="H262" s="221"/>
      <c r="I262" s="221"/>
      <c r="J262" s="221"/>
      <c r="K262" s="221"/>
      <c r="L262" s="221"/>
      <c r="M262" s="363"/>
      <c r="N262" s="458"/>
      <c r="O262" s="219"/>
      <c r="P262" s="219"/>
      <c r="Y262" s="310">
        <v>41</v>
      </c>
      <c r="Z262" t="s">
        <v>86</v>
      </c>
      <c r="AL262" s="200">
        <v>28</v>
      </c>
      <c r="AM262" s="378" t="s">
        <v>317</v>
      </c>
      <c r="AN262" s="382"/>
      <c r="AO262" s="119"/>
      <c r="AP262" s="217"/>
      <c r="BB262" s="208">
        <v>36</v>
      </c>
      <c r="BC262" s="378" t="s">
        <v>317</v>
      </c>
      <c r="BD262" s="382"/>
    </row>
    <row r="263" spans="3:56" ht="15.75" thickBot="1" x14ac:dyDescent="0.25">
      <c r="C263" s="367"/>
      <c r="D263" s="368"/>
      <c r="E263" s="368"/>
      <c r="F263" s="247"/>
      <c r="G263" s="221"/>
      <c r="H263" s="221"/>
      <c r="I263" s="221"/>
      <c r="J263" s="221"/>
      <c r="K263" s="221"/>
      <c r="L263" s="221"/>
      <c r="M263" s="363"/>
      <c r="N263" s="458"/>
      <c r="O263" s="219"/>
      <c r="P263" s="219"/>
      <c r="Y263" s="310">
        <v>51</v>
      </c>
      <c r="Z263" t="s">
        <v>88</v>
      </c>
      <c r="AN263" s="106"/>
      <c r="AO263" s="106"/>
      <c r="AP263" s="106"/>
    </row>
    <row r="264" spans="3:56" ht="15.75" thickBot="1" x14ac:dyDescent="0.25">
      <c r="C264" s="370"/>
      <c r="D264" s="371"/>
      <c r="E264" s="371"/>
      <c r="F264" s="282"/>
      <c r="G264" s="279"/>
      <c r="H264" s="279"/>
      <c r="I264" s="279"/>
      <c r="J264" s="279"/>
      <c r="K264" s="279"/>
      <c r="L264" s="279"/>
      <c r="M264" s="413"/>
      <c r="N264" s="459"/>
      <c r="O264" s="219"/>
      <c r="P264" s="219"/>
      <c r="Y264" s="310">
        <v>60</v>
      </c>
      <c r="Z264" t="s">
        <v>89</v>
      </c>
      <c r="AJ264" s="194"/>
      <c r="AK264" s="195"/>
      <c r="AL264" s="192" t="s">
        <v>353</v>
      </c>
      <c r="AN264" s="187"/>
      <c r="AO264" s="187"/>
      <c r="AP264" s="106"/>
      <c r="BB264" s="192" t="s">
        <v>353</v>
      </c>
    </row>
    <row r="265" spans="3:56" ht="15" x14ac:dyDescent="0.2"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AL265" s="205">
        <v>10</v>
      </c>
      <c r="AM265" s="378" t="s">
        <v>141</v>
      </c>
      <c r="AN265" s="379"/>
      <c r="AO265" s="106"/>
      <c r="AP265" s="106"/>
      <c r="BB265" s="205">
        <v>16</v>
      </c>
      <c r="BC265" s="378" t="s">
        <v>141</v>
      </c>
      <c r="BD265" s="379"/>
    </row>
    <row r="266" spans="3:56" ht="15" x14ac:dyDescent="0.2">
      <c r="C266" s="410" t="s">
        <v>84</v>
      </c>
      <c r="D266" s="410"/>
      <c r="E266" s="410"/>
      <c r="F266" s="410"/>
      <c r="G266" s="411" t="str">
        <f>IF(M266&gt;0,VLOOKUP(M266,Y259:AA264,2,TRUE),"-")</f>
        <v>-</v>
      </c>
      <c r="H266" s="412"/>
      <c r="I266" s="219"/>
      <c r="J266" s="219"/>
      <c r="K266" s="410" t="s">
        <v>83</v>
      </c>
      <c r="L266" s="410"/>
      <c r="M266" s="446">
        <f>SUM(N220:N264)</f>
        <v>0</v>
      </c>
      <c r="N266" s="431"/>
      <c r="O266" s="219"/>
      <c r="P266" s="219"/>
      <c r="AL266" s="206">
        <v>16</v>
      </c>
      <c r="AM266" s="380" t="s">
        <v>140</v>
      </c>
      <c r="AN266" s="381"/>
      <c r="AO266" s="106"/>
      <c r="AP266" s="106"/>
      <c r="AW266" s="79" t="str">
        <f>IF(AND(CQ23=0,CS22&lt;=19),VLOOKUP(CU21,CP27:CQ31,2,TRUE),IF(AND(CQ23=0,CS22&lt;=29),VLOOKUP(CU21,CP34:CQ38,2,TRUE),IF(AND(CQ23=0,CS22&lt;=39),VLOOKUP(CU21,CP40:CQ44,2,TRUE),IF(AND(CQ23=0,CS22&lt;=49),VLOOKUP(CU21,CP46:CQ50,2,TRUE),IF(AND(CQ23=0,CS22&lt;=59),VLOOKUP(CU21,CP52:CQ56,2,TRUE),IF(AND(CQ23=0,CS22&lt;=69),VLOOKUP(CU21,CP59:CQ63,2,TRUE),IF(AND(CQ23=1,CS22&lt;=19),VLOOKUP(CU21,CS33:CT37,2,TRUE),IF(AND(CQ23=1,CS22&lt;=29),VLOOKUP(CU21,CS40:CT44,2,TRUE),IF(AND(CQ23=1,CS22&lt;=39),VLOOKUP(CU21,CS46:CT50,2,TRUE),IF(AND(CQ23=1,CS22&lt;=49),VLOOKUP(CU21,CS52:CT56,2,TRUE),IF(AND(CQ23=1,CS22&lt;=59),VLOOKUP(CU21,CS58:CT62,2,TRUE),IF(AND(CQ23=1,CS22&lt;=69),VLOOKUP(CU21,CS65:CT69,2,TRUE),"-"))))))))))))</f>
        <v>-</v>
      </c>
      <c r="BB266" s="206">
        <v>20</v>
      </c>
      <c r="BC266" s="380" t="s">
        <v>140</v>
      </c>
      <c r="BD266" s="381"/>
    </row>
    <row r="267" spans="3:56" ht="15" x14ac:dyDescent="0.2"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AL267" s="207">
        <v>19</v>
      </c>
      <c r="AM267" s="378" t="s">
        <v>298</v>
      </c>
      <c r="AN267" s="382"/>
      <c r="AO267" s="106"/>
      <c r="AP267" s="106"/>
      <c r="BB267" s="207">
        <v>24</v>
      </c>
      <c r="BC267" s="378" t="s">
        <v>298</v>
      </c>
      <c r="BD267" s="382"/>
    </row>
    <row r="268" spans="3:56" ht="15" x14ac:dyDescent="0.2"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AL268" s="206">
        <v>21</v>
      </c>
      <c r="AM268" s="380" t="s">
        <v>303</v>
      </c>
      <c r="AN268" s="381"/>
      <c r="AO268" s="106"/>
      <c r="AP268" s="106"/>
      <c r="BB268" s="206">
        <v>27</v>
      </c>
      <c r="BC268" s="380" t="s">
        <v>303</v>
      </c>
      <c r="BD268" s="381"/>
    </row>
    <row r="269" spans="3:56" ht="15" x14ac:dyDescent="0.2">
      <c r="C269" s="362" t="s">
        <v>213</v>
      </c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AL269" s="207">
        <v>24</v>
      </c>
      <c r="AM269" s="378" t="s">
        <v>307</v>
      </c>
      <c r="AN269" s="382"/>
      <c r="AO269" s="106"/>
      <c r="AP269" s="106"/>
      <c r="BB269" s="207">
        <v>30</v>
      </c>
      <c r="BC269" s="378" t="s">
        <v>307</v>
      </c>
      <c r="BD269" s="382"/>
    </row>
    <row r="270" spans="3:56" ht="15" x14ac:dyDescent="0.2">
      <c r="C270" s="238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7"/>
      <c r="AL270" s="206">
        <v>27</v>
      </c>
      <c r="AM270" s="380" t="s">
        <v>312</v>
      </c>
      <c r="AN270" s="381"/>
      <c r="AO270" s="106"/>
      <c r="AP270" s="106"/>
      <c r="AU270" t="str">
        <f>IF(AND(CO27=0,CQ26&lt;=19),VLOOKUP(CS25,CN31:CO35,2,TRUE),IF(AND(CO27=0,CQ26&lt;=29),VLOOKUP(CS25,CN38:CO42,2,TRUE),IF(AND(CO27=0,CQ26&lt;=39),VLOOKUP(CS25,CN44:CO48,2,TRUE),IF(AND(CO27=0,CQ26&lt;=49),VLOOKUP(CS25,CN50:CO54,2,TRUE),IF(AND(CO27=0,CQ26&lt;=59),VLOOKUP(CS25,CN56:CO60,2,TRUE),IF(AND(CO27=0,CQ26&lt;=69),VLOOKUP(CS25,CN63:CO67,2,TRUE),IF(AND(CO27=1,CQ26&lt;=19),VLOOKUP(CS25,CQ37:CR41,2,TRUE),IF(AND(CO27=1,CQ26&lt;=29),VLOOKUP(CS25,CQ44:CR48,2,TRUE),IF(AND(CO27=1,CQ26&lt;=39),VLOOKUP(CS25,CQ50:CR54,2,TRUE),IF(AND(CO27=1,CQ26&lt;=49),VLOOKUP(CS25,CQ56:CR60,2,TRUE),IF(AND(CO27=1,CQ26&lt;=59),VLOOKUP(CS25,CQ62:CR66,2,TRUE),IF(AND(CO27=1,CQ26&lt;=69),VLOOKUP(CS25,CQ69:CR73,2,TRUE),"-"))))))))))))</f>
        <v>-</v>
      </c>
      <c r="BB270" s="206">
        <v>33</v>
      </c>
      <c r="BC270" s="380" t="s">
        <v>312</v>
      </c>
      <c r="BD270" s="381"/>
    </row>
    <row r="271" spans="3:56" ht="15.75" thickBot="1" x14ac:dyDescent="0.25">
      <c r="C271" s="240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78"/>
      <c r="AL271" s="208">
        <v>30</v>
      </c>
      <c r="AM271" s="378" t="s">
        <v>317</v>
      </c>
      <c r="AN271" s="382"/>
      <c r="AO271" s="106"/>
      <c r="AP271" s="106"/>
      <c r="BB271" s="208">
        <v>38</v>
      </c>
      <c r="BC271" s="378" t="s">
        <v>317</v>
      </c>
      <c r="BD271" s="382"/>
    </row>
    <row r="272" spans="3:56" ht="15.75" thickBot="1" x14ac:dyDescent="0.25">
      <c r="C272" s="240"/>
      <c r="D272" s="221"/>
      <c r="E272" s="221"/>
      <c r="F272" s="221"/>
      <c r="G272" s="221"/>
      <c r="H272" s="377" t="s">
        <v>149</v>
      </c>
      <c r="I272" s="377"/>
      <c r="J272" s="377"/>
      <c r="K272" s="377"/>
      <c r="L272" s="313"/>
      <c r="M272" s="221"/>
      <c r="N272" s="221"/>
      <c r="O272" s="221"/>
      <c r="P272" s="278"/>
      <c r="AN272" s="106"/>
      <c r="AO272" s="106"/>
      <c r="AP272" s="106"/>
    </row>
    <row r="273" spans="3:56" ht="15.75" thickBot="1" x14ac:dyDescent="0.25">
      <c r="C273" s="240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78"/>
      <c r="AJ273" s="194"/>
      <c r="AK273" s="195"/>
      <c r="AL273" s="192" t="s">
        <v>354</v>
      </c>
      <c r="AN273" s="187"/>
      <c r="AO273" s="187"/>
      <c r="AP273" s="106"/>
      <c r="BB273" s="192" t="s">
        <v>354</v>
      </c>
    </row>
    <row r="274" spans="3:56" ht="15" x14ac:dyDescent="0.2">
      <c r="C274" s="240"/>
      <c r="D274" s="221"/>
      <c r="E274" s="221"/>
      <c r="F274" s="221"/>
      <c r="G274" s="221"/>
      <c r="H274" s="221"/>
      <c r="I274" s="221"/>
      <c r="J274" s="307" t="s">
        <v>150</v>
      </c>
      <c r="K274" s="221"/>
      <c r="L274" s="232" t="str">
        <f>IF(L272="","-",'Avaliação Física 5'!CH20)</f>
        <v>-</v>
      </c>
      <c r="M274" s="221"/>
      <c r="N274" s="221"/>
      <c r="O274" s="221"/>
      <c r="P274" s="278"/>
      <c r="AL274" s="205">
        <v>12</v>
      </c>
      <c r="AM274" s="378" t="s">
        <v>141</v>
      </c>
      <c r="AN274" s="379"/>
      <c r="AO274" s="106"/>
      <c r="AP274" s="106"/>
      <c r="BB274" s="205">
        <v>14</v>
      </c>
      <c r="BC274" s="378" t="s">
        <v>141</v>
      </c>
      <c r="BD274" s="379"/>
    </row>
    <row r="275" spans="3:56" ht="15" x14ac:dyDescent="0.2">
      <c r="C275" s="240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78"/>
      <c r="AL275" s="206">
        <v>18</v>
      </c>
      <c r="AM275" s="380" t="s">
        <v>140</v>
      </c>
      <c r="AN275" s="381"/>
      <c r="AO275" s="106"/>
      <c r="AP275" s="106"/>
      <c r="BB275" s="206">
        <v>23</v>
      </c>
      <c r="BC275" s="380" t="s">
        <v>140</v>
      </c>
      <c r="BD275" s="381"/>
    </row>
    <row r="276" spans="3:56" ht="15" x14ac:dyDescent="0.2">
      <c r="C276" s="241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80"/>
      <c r="AL276" s="207">
        <v>21</v>
      </c>
      <c r="AM276" s="378" t="s">
        <v>298</v>
      </c>
      <c r="AN276" s="382"/>
      <c r="AO276" s="106"/>
      <c r="AP276" s="106"/>
      <c r="BB276" s="207">
        <v>26</v>
      </c>
      <c r="BC276" s="378" t="s">
        <v>298</v>
      </c>
      <c r="BD276" s="382"/>
    </row>
    <row r="277" spans="3:56" ht="15" x14ac:dyDescent="0.2">
      <c r="AL277" s="206">
        <v>24</v>
      </c>
      <c r="AM277" s="380" t="s">
        <v>303</v>
      </c>
      <c r="AN277" s="381"/>
      <c r="AO277" s="106"/>
      <c r="AP277" s="106"/>
      <c r="BB277" s="206">
        <v>29</v>
      </c>
      <c r="BC277" s="380" t="s">
        <v>303</v>
      </c>
      <c r="BD277" s="381"/>
    </row>
    <row r="278" spans="3:56" ht="15" x14ac:dyDescent="0.2">
      <c r="C278" s="362" t="s">
        <v>214</v>
      </c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AL278" s="207">
        <v>26</v>
      </c>
      <c r="AM278" s="378" t="s">
        <v>307</v>
      </c>
      <c r="AN278" s="382"/>
      <c r="AO278" s="106"/>
      <c r="AP278" s="106"/>
      <c r="BB278" s="207">
        <v>32</v>
      </c>
      <c r="BC278" s="378" t="s">
        <v>307</v>
      </c>
      <c r="BD278" s="382"/>
    </row>
    <row r="279" spans="3:56" ht="15" x14ac:dyDescent="0.2">
      <c r="C279" s="238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7"/>
      <c r="AL279" s="206">
        <v>28</v>
      </c>
      <c r="AM279" s="380" t="s">
        <v>312</v>
      </c>
      <c r="AN279" s="381"/>
      <c r="AO279" s="106"/>
      <c r="AP279" s="106"/>
      <c r="BB279" s="206">
        <v>35</v>
      </c>
      <c r="BC279" s="380" t="s">
        <v>312</v>
      </c>
      <c r="BD279" s="381"/>
    </row>
    <row r="280" spans="3:56" ht="15.75" thickBot="1" x14ac:dyDescent="0.25">
      <c r="C280" s="240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78"/>
      <c r="AL280" s="208">
        <v>32</v>
      </c>
      <c r="AM280" s="378" t="s">
        <v>317</v>
      </c>
      <c r="AN280" s="382"/>
      <c r="AO280" s="106"/>
      <c r="AP280" s="106"/>
      <c r="BB280" s="208">
        <v>39</v>
      </c>
      <c r="BC280" s="378" t="s">
        <v>317</v>
      </c>
      <c r="BD280" s="382"/>
    </row>
    <row r="281" spans="3:56" ht="15.75" thickBot="1" x14ac:dyDescent="0.25">
      <c r="C281" s="240"/>
      <c r="D281" s="221"/>
      <c r="E281" s="221"/>
      <c r="F281" s="221"/>
      <c r="G281" s="221"/>
      <c r="H281" s="377" t="s">
        <v>149</v>
      </c>
      <c r="I281" s="377"/>
      <c r="J281" s="377"/>
      <c r="K281" s="377"/>
      <c r="L281" s="313"/>
      <c r="M281" s="221"/>
      <c r="N281" s="221"/>
      <c r="O281" s="221"/>
      <c r="P281" s="278"/>
      <c r="AN281" s="106"/>
      <c r="AO281" s="106"/>
      <c r="AP281" s="106"/>
    </row>
    <row r="282" spans="3:56" ht="15.75" thickBot="1" x14ac:dyDescent="0.25">
      <c r="C282" s="240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78"/>
      <c r="AJ282" s="194"/>
      <c r="AK282" s="195"/>
      <c r="AL282" s="192" t="s">
        <v>355</v>
      </c>
      <c r="AN282" s="187"/>
      <c r="AO282" s="187"/>
      <c r="AP282" s="106"/>
      <c r="BB282" s="192" t="s">
        <v>355</v>
      </c>
    </row>
    <row r="283" spans="3:56" ht="15" x14ac:dyDescent="0.2">
      <c r="C283" s="240"/>
      <c r="D283" s="221"/>
      <c r="E283" s="221"/>
      <c r="F283" s="221"/>
      <c r="G283" s="221"/>
      <c r="H283" s="221"/>
      <c r="I283" s="221"/>
      <c r="J283" s="307" t="s">
        <v>150</v>
      </c>
      <c r="K283" s="307"/>
      <c r="L283" s="232" t="str">
        <f>IF(L281="","-",'Avaliação Física 5'!CH12)</f>
        <v>-</v>
      </c>
      <c r="M283" s="221"/>
      <c r="N283" s="221"/>
      <c r="O283" s="221"/>
      <c r="P283" s="278"/>
      <c r="AL283" s="205">
        <v>13</v>
      </c>
      <c r="AM283" s="378" t="s">
        <v>141</v>
      </c>
      <c r="AN283" s="379"/>
      <c r="AO283" s="106"/>
      <c r="AP283" s="106"/>
      <c r="BB283" s="205">
        <v>18</v>
      </c>
      <c r="BC283" s="378" t="s">
        <v>141</v>
      </c>
      <c r="BD283" s="379"/>
    </row>
    <row r="284" spans="3:56" ht="15" x14ac:dyDescent="0.2">
      <c r="C284" s="240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78"/>
      <c r="AL284" s="206">
        <v>20</v>
      </c>
      <c r="AM284" s="380" t="s">
        <v>140</v>
      </c>
      <c r="AN284" s="381"/>
      <c r="AO284" s="106"/>
      <c r="AP284" s="106"/>
      <c r="BB284" s="206">
        <v>25</v>
      </c>
      <c r="BC284" s="380" t="s">
        <v>140</v>
      </c>
      <c r="BD284" s="381"/>
    </row>
    <row r="285" spans="3:56" ht="15" x14ac:dyDescent="0.2">
      <c r="C285" s="241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80"/>
      <c r="AL285" s="207">
        <v>22</v>
      </c>
      <c r="AM285" s="378" t="s">
        <v>298</v>
      </c>
      <c r="AN285" s="382"/>
      <c r="AO285" s="106"/>
      <c r="AP285" s="106"/>
      <c r="BB285" s="207">
        <v>27</v>
      </c>
      <c r="BC285" s="378" t="s">
        <v>298</v>
      </c>
      <c r="BD285" s="382"/>
    </row>
    <row r="286" spans="3:56" ht="15" x14ac:dyDescent="0.2">
      <c r="O286" s="91"/>
      <c r="AL286" s="206">
        <v>24</v>
      </c>
      <c r="AM286" s="380" t="s">
        <v>303</v>
      </c>
      <c r="AN286" s="381"/>
      <c r="AO286" s="106"/>
      <c r="AP286" s="106"/>
      <c r="BB286" s="206">
        <v>30</v>
      </c>
      <c r="BC286" s="380" t="s">
        <v>303</v>
      </c>
      <c r="BD286" s="381"/>
    </row>
    <row r="287" spans="3:56" ht="15" x14ac:dyDescent="0.2">
      <c r="C287" s="362" t="s">
        <v>230</v>
      </c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AL287" s="207">
        <v>26</v>
      </c>
      <c r="AM287" s="378" t="s">
        <v>307</v>
      </c>
      <c r="AN287" s="382"/>
      <c r="AO287" s="106"/>
      <c r="AP287" s="106"/>
      <c r="BB287" s="207">
        <v>33</v>
      </c>
      <c r="BC287" s="378" t="s">
        <v>307</v>
      </c>
      <c r="BD287" s="382"/>
    </row>
    <row r="288" spans="3:56" ht="15" x14ac:dyDescent="0.2">
      <c r="C288" s="238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7"/>
      <c r="AL288" s="206">
        <v>28</v>
      </c>
      <c r="AM288" s="380" t="s">
        <v>312</v>
      </c>
      <c r="AN288" s="381"/>
      <c r="AO288" s="106"/>
      <c r="AP288" s="106"/>
      <c r="BB288" s="206">
        <v>36</v>
      </c>
      <c r="BC288" s="380" t="s">
        <v>312</v>
      </c>
      <c r="BD288" s="381"/>
    </row>
    <row r="289" spans="3:56" ht="15.75" thickBot="1" x14ac:dyDescent="0.25">
      <c r="C289" s="491" t="s">
        <v>275</v>
      </c>
      <c r="D289" s="492"/>
      <c r="E289" s="492"/>
      <c r="F289" s="492"/>
      <c r="G289" s="221"/>
      <c r="H289" s="355" t="s">
        <v>231</v>
      </c>
      <c r="I289" s="355"/>
      <c r="J289" s="221"/>
      <c r="K289" s="355" t="s">
        <v>198</v>
      </c>
      <c r="L289" s="355"/>
      <c r="M289" s="355"/>
      <c r="N289" s="355"/>
      <c r="O289" s="221"/>
      <c r="P289" s="278"/>
      <c r="T289" s="21"/>
      <c r="AL289" s="208">
        <v>32</v>
      </c>
      <c r="AM289" s="378" t="s">
        <v>317</v>
      </c>
      <c r="AN289" s="382"/>
      <c r="AO289" s="106"/>
      <c r="AP289" s="106"/>
      <c r="BB289" s="208">
        <v>39</v>
      </c>
      <c r="BC289" s="378" t="s">
        <v>317</v>
      </c>
      <c r="BD289" s="382"/>
    </row>
    <row r="290" spans="3:56" ht="15.75" thickBot="1" x14ac:dyDescent="0.25">
      <c r="C290" s="240"/>
      <c r="D290" s="414"/>
      <c r="E290" s="415"/>
      <c r="F290" s="221"/>
      <c r="G290" s="221"/>
      <c r="H290" s="444" t="str">
        <f>IF(D290="","-",((D290/1000)*60)/12)</f>
        <v>-</v>
      </c>
      <c r="I290" s="445"/>
      <c r="J290" s="221"/>
      <c r="K290" s="221"/>
      <c r="L290" s="427" t="str">
        <f>IF(D290="","-",('Avaliação Física 5'!D290-504)/45)</f>
        <v>-</v>
      </c>
      <c r="M290" s="428"/>
      <c r="N290" s="429"/>
      <c r="O290" s="221"/>
      <c r="P290" s="278"/>
      <c r="AN290" s="106"/>
      <c r="AO290" s="106"/>
      <c r="AP290" s="106"/>
    </row>
    <row r="291" spans="3:56" ht="15.75" thickBot="1" x14ac:dyDescent="0.25">
      <c r="C291" s="240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78"/>
      <c r="AJ291" s="194"/>
      <c r="AK291" s="195"/>
      <c r="AL291" s="192" t="s">
        <v>356</v>
      </c>
      <c r="AN291" s="187"/>
      <c r="AO291" s="187"/>
      <c r="AP291" s="106"/>
      <c r="BB291" s="192" t="s">
        <v>356</v>
      </c>
    </row>
    <row r="292" spans="3:56" ht="15" x14ac:dyDescent="0.2">
      <c r="C292" s="240"/>
      <c r="D292" s="355" t="s">
        <v>232</v>
      </c>
      <c r="E292" s="355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78"/>
      <c r="AL292" s="205">
        <v>14</v>
      </c>
      <c r="AM292" s="378" t="s">
        <v>141</v>
      </c>
      <c r="AN292" s="379"/>
      <c r="AO292" s="106"/>
      <c r="AP292" s="106"/>
      <c r="BB292" s="205">
        <v>16</v>
      </c>
      <c r="BC292" s="378" t="s">
        <v>141</v>
      </c>
      <c r="BD292" s="379"/>
    </row>
    <row r="293" spans="3:56" ht="15" x14ac:dyDescent="0.2">
      <c r="C293" s="240"/>
      <c r="D293" s="430" t="str">
        <f>IF(D290="","-",DN12)</f>
        <v>-</v>
      </c>
      <c r="E293" s="43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78"/>
      <c r="AL293" s="206">
        <v>19</v>
      </c>
      <c r="AM293" s="380" t="s">
        <v>140</v>
      </c>
      <c r="AN293" s="381"/>
      <c r="AO293" s="106"/>
      <c r="AP293" s="106"/>
      <c r="BB293" s="206">
        <v>22</v>
      </c>
      <c r="BC293" s="380" t="s">
        <v>140</v>
      </c>
      <c r="BD293" s="381"/>
    </row>
    <row r="294" spans="3:56" ht="15" x14ac:dyDescent="0.2">
      <c r="C294" s="241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80"/>
      <c r="AL294" s="207">
        <v>22</v>
      </c>
      <c r="AM294" s="378" t="s">
        <v>298</v>
      </c>
      <c r="AN294" s="382"/>
      <c r="BB294" s="207">
        <v>27</v>
      </c>
      <c r="BC294" s="378" t="s">
        <v>298</v>
      </c>
      <c r="BD294" s="382"/>
    </row>
    <row r="295" spans="3:56" ht="15" x14ac:dyDescent="0.2">
      <c r="AL295" s="206">
        <v>23</v>
      </c>
      <c r="AM295" s="380" t="s">
        <v>303</v>
      </c>
      <c r="AN295" s="381"/>
      <c r="BB295" s="206">
        <v>30</v>
      </c>
      <c r="BC295" s="380" t="s">
        <v>303</v>
      </c>
      <c r="BD295" s="381"/>
    </row>
    <row r="296" spans="3:56" ht="15" x14ac:dyDescent="0.2">
      <c r="C296" s="362" t="s">
        <v>223</v>
      </c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AL296" s="207">
        <v>25</v>
      </c>
      <c r="AM296" s="378" t="s">
        <v>307</v>
      </c>
      <c r="AN296" s="382"/>
      <c r="BB296" s="207">
        <v>32</v>
      </c>
      <c r="BC296" s="378" t="s">
        <v>307</v>
      </c>
      <c r="BD296" s="382"/>
    </row>
    <row r="297" spans="3:56" ht="15" x14ac:dyDescent="0.2">
      <c r="C297" s="447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9"/>
      <c r="Q297" s="93"/>
      <c r="R297" s="94"/>
      <c r="S297" s="94"/>
      <c r="T297" s="95"/>
      <c r="U297" s="95"/>
      <c r="V297" s="95"/>
      <c r="W297" s="95"/>
      <c r="AA297" s="95"/>
      <c r="AL297" s="206">
        <v>27</v>
      </c>
      <c r="AM297" s="380" t="s">
        <v>312</v>
      </c>
      <c r="AN297" s="381"/>
      <c r="BB297" s="206">
        <v>35</v>
      </c>
      <c r="BC297" s="380" t="s">
        <v>312</v>
      </c>
      <c r="BD297" s="381"/>
    </row>
    <row r="298" spans="3:56" ht="15.75" thickBot="1" x14ac:dyDescent="0.25">
      <c r="C298" s="450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2"/>
      <c r="Q298" s="93"/>
      <c r="R298" s="94"/>
      <c r="S298" s="94"/>
      <c r="T298" s="95"/>
      <c r="U298" s="95"/>
      <c r="V298" s="95"/>
      <c r="W298" s="95"/>
      <c r="AA298" s="95"/>
      <c r="AL298" s="208">
        <v>31</v>
      </c>
      <c r="AM298" s="378" t="s">
        <v>317</v>
      </c>
      <c r="AN298" s="382"/>
      <c r="BB298" s="208">
        <v>38</v>
      </c>
      <c r="BC298" s="378" t="s">
        <v>317</v>
      </c>
      <c r="BD298" s="382"/>
    </row>
    <row r="299" spans="3:56" ht="15" x14ac:dyDescent="0.2">
      <c r="C299" s="450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2"/>
      <c r="Q299" s="93"/>
      <c r="R299" s="94"/>
      <c r="S299" s="94"/>
      <c r="T299" s="99"/>
      <c r="U299" s="95"/>
      <c r="V299" s="95"/>
      <c r="W299" s="95"/>
      <c r="AA299" s="95"/>
    </row>
    <row r="300" spans="3:56" ht="15" x14ac:dyDescent="0.2">
      <c r="C300" s="450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2"/>
      <c r="Q300" s="96"/>
      <c r="R300" s="94"/>
      <c r="S300" s="94"/>
      <c r="T300" s="95"/>
      <c r="U300" s="95"/>
      <c r="V300" s="95"/>
      <c r="W300" s="95"/>
      <c r="AA300" s="95"/>
    </row>
    <row r="301" spans="3:56" ht="15" x14ac:dyDescent="0.2">
      <c r="C301" s="450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2"/>
      <c r="Q301" s="93"/>
      <c r="R301" s="94"/>
      <c r="S301" s="94"/>
      <c r="T301" s="95"/>
      <c r="U301" s="95"/>
      <c r="V301" s="95"/>
      <c r="W301" s="95"/>
      <c r="X301" s="95"/>
      <c r="Y301" s="95"/>
      <c r="Z301" s="95"/>
      <c r="AA301" s="95"/>
    </row>
    <row r="302" spans="3:56" ht="15" x14ac:dyDescent="0.2">
      <c r="C302" s="450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2"/>
      <c r="Q302" s="93"/>
      <c r="R302" s="94"/>
      <c r="S302" s="94"/>
      <c r="T302" s="95"/>
      <c r="U302" s="95"/>
      <c r="V302" s="95"/>
      <c r="W302" s="95"/>
      <c r="X302" s="95"/>
      <c r="Y302" s="95"/>
      <c r="Z302" s="95"/>
      <c r="AA302" s="95"/>
    </row>
    <row r="303" spans="3:56" ht="15" x14ac:dyDescent="0.2">
      <c r="C303" s="450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2"/>
      <c r="Q303" s="93"/>
      <c r="R303" s="94"/>
      <c r="S303" s="94"/>
      <c r="T303" s="95"/>
      <c r="U303" s="95"/>
      <c r="V303" s="95"/>
      <c r="W303" s="95"/>
      <c r="X303" s="95"/>
      <c r="Y303" s="95"/>
      <c r="Z303" s="95"/>
      <c r="AA303" s="95"/>
    </row>
    <row r="304" spans="3:56" ht="15" x14ac:dyDescent="0.2">
      <c r="C304" s="450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2"/>
      <c r="Q304" s="93"/>
      <c r="R304" s="94"/>
      <c r="S304" s="94"/>
      <c r="T304" s="95"/>
      <c r="U304" s="95"/>
      <c r="V304" s="95"/>
      <c r="W304" s="95"/>
      <c r="X304" s="408"/>
      <c r="Y304" s="409"/>
      <c r="Z304" s="95"/>
      <c r="AA304" s="95"/>
    </row>
    <row r="305" spans="3:27" ht="15" x14ac:dyDescent="0.2">
      <c r="C305" s="450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2"/>
      <c r="Q305" s="93"/>
      <c r="R305" s="94"/>
      <c r="S305" s="94"/>
      <c r="T305" s="95"/>
      <c r="U305" s="95"/>
      <c r="V305" s="95"/>
      <c r="W305" s="95"/>
      <c r="X305" s="95"/>
      <c r="Y305" s="95"/>
      <c r="Z305" s="95"/>
      <c r="AA305" s="95"/>
    </row>
    <row r="306" spans="3:27" ht="15" x14ac:dyDescent="0.2">
      <c r="C306" s="450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2"/>
      <c r="Q306" s="93"/>
      <c r="R306" s="94"/>
      <c r="S306" s="94"/>
      <c r="T306" s="95"/>
      <c r="U306" s="95"/>
      <c r="V306" s="95"/>
      <c r="W306" s="95"/>
      <c r="X306" s="95"/>
      <c r="Y306" s="95"/>
      <c r="Z306" s="95"/>
      <c r="AA306" s="95"/>
    </row>
    <row r="307" spans="3:27" ht="15" x14ac:dyDescent="0.2">
      <c r="C307" s="450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2"/>
      <c r="Q307" s="93"/>
      <c r="R307" s="94"/>
      <c r="S307" s="94"/>
      <c r="T307" s="95"/>
      <c r="U307" s="95"/>
      <c r="V307" s="95"/>
      <c r="W307" s="95"/>
      <c r="X307" s="95"/>
      <c r="Y307" s="95"/>
      <c r="Z307" s="95"/>
      <c r="AA307" s="95"/>
    </row>
    <row r="308" spans="3:27" ht="15" x14ac:dyDescent="0.2">
      <c r="C308" s="450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2"/>
      <c r="Q308" s="93"/>
      <c r="R308" s="94"/>
      <c r="S308" s="94"/>
      <c r="T308" s="95"/>
      <c r="U308" s="95"/>
      <c r="V308" s="95"/>
      <c r="W308" s="95"/>
      <c r="X308" s="95"/>
      <c r="Y308" s="95"/>
      <c r="Z308" s="95"/>
      <c r="AA308" s="95"/>
    </row>
    <row r="309" spans="3:27" ht="15" x14ac:dyDescent="0.2">
      <c r="C309" s="450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2"/>
      <c r="Q309" s="93"/>
      <c r="R309" s="94"/>
      <c r="S309" s="94"/>
      <c r="T309" s="95"/>
      <c r="U309" s="95"/>
      <c r="V309" s="95"/>
      <c r="W309" s="95"/>
      <c r="X309" s="95"/>
      <c r="Y309" s="95"/>
      <c r="Z309" s="95"/>
      <c r="AA309" s="95"/>
    </row>
    <row r="310" spans="3:27" ht="15" x14ac:dyDescent="0.2">
      <c r="C310" s="450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2"/>
      <c r="Q310" s="93"/>
      <c r="R310" s="94"/>
      <c r="S310" s="94"/>
      <c r="T310" s="95"/>
      <c r="U310" s="95"/>
      <c r="V310" s="95"/>
      <c r="W310" s="95"/>
      <c r="X310" s="95"/>
      <c r="Y310" s="95"/>
      <c r="Z310" s="95"/>
      <c r="AA310" s="95"/>
    </row>
    <row r="311" spans="3:27" ht="15" x14ac:dyDescent="0.2">
      <c r="C311" s="450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2"/>
      <c r="Q311" s="93"/>
      <c r="R311" s="96"/>
      <c r="S311" s="94"/>
      <c r="T311" s="97"/>
      <c r="U311" s="97"/>
      <c r="V311" s="97"/>
      <c r="W311" s="97"/>
      <c r="X311" s="100"/>
      <c r="Y311" s="100"/>
      <c r="Z311" s="95"/>
      <c r="AA311" s="97"/>
    </row>
    <row r="312" spans="3:27" ht="15" x14ac:dyDescent="0.2">
      <c r="C312" s="450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2"/>
      <c r="Q312" s="93"/>
      <c r="R312" s="96"/>
      <c r="S312" s="96"/>
      <c r="T312" s="96"/>
      <c r="U312" s="96"/>
      <c r="V312" s="96"/>
      <c r="W312" s="311"/>
      <c r="X312" s="95"/>
      <c r="Y312" s="95"/>
      <c r="Z312" s="95"/>
      <c r="AA312" s="97"/>
    </row>
    <row r="313" spans="3:27" ht="15" x14ac:dyDescent="0.2">
      <c r="C313" s="450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2"/>
      <c r="Q313" s="93"/>
      <c r="R313" s="94"/>
      <c r="S313" s="94"/>
      <c r="T313" s="97"/>
      <c r="U313" s="97"/>
      <c r="V313" s="97"/>
      <c r="W313" s="97"/>
      <c r="X313" s="95"/>
      <c r="Y313" s="95"/>
      <c r="Z313" s="95"/>
      <c r="AA313" s="97"/>
    </row>
    <row r="314" spans="3:27" ht="15" x14ac:dyDescent="0.2">
      <c r="C314" s="450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2"/>
      <c r="Q314" s="93"/>
      <c r="R314" s="94"/>
      <c r="S314" s="94"/>
      <c r="T314" s="97"/>
      <c r="U314" s="97"/>
      <c r="V314" s="97"/>
      <c r="W314" s="97"/>
      <c r="X314" s="95"/>
      <c r="Y314" s="95"/>
      <c r="Z314" s="95"/>
      <c r="AA314" s="97"/>
    </row>
    <row r="315" spans="3:27" ht="15" x14ac:dyDescent="0.2">
      <c r="C315" s="450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2"/>
      <c r="Q315" s="93"/>
      <c r="R315" s="94"/>
      <c r="S315" s="94"/>
      <c r="T315" s="97"/>
      <c r="U315" s="97"/>
      <c r="V315" s="97"/>
      <c r="W315" s="97"/>
      <c r="X315" s="441"/>
      <c r="Y315" s="441"/>
      <c r="Z315" s="96"/>
      <c r="AA315" s="97"/>
    </row>
    <row r="316" spans="3:27" ht="15" x14ac:dyDescent="0.2">
      <c r="C316" s="453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5"/>
      <c r="Q316" s="93"/>
      <c r="R316" s="94"/>
      <c r="S316" s="94"/>
      <c r="T316" s="97"/>
      <c r="U316" s="97"/>
      <c r="V316" s="97"/>
      <c r="W316" s="97"/>
      <c r="X316" s="97"/>
      <c r="Y316" s="97"/>
      <c r="Z316" s="97"/>
      <c r="AA316" s="97"/>
    </row>
    <row r="317" spans="3:27" ht="15" x14ac:dyDescent="0.2">
      <c r="O317" s="103"/>
      <c r="P317" s="103"/>
      <c r="Q317" s="103"/>
      <c r="R317" s="103"/>
      <c r="S317" s="103"/>
      <c r="T317" s="103"/>
      <c r="U317" s="103"/>
      <c r="V317" s="103"/>
      <c r="W317" s="103"/>
      <c r="X317" s="93"/>
      <c r="Y317" s="97"/>
      <c r="Z317" s="97"/>
      <c r="AA317" s="95"/>
    </row>
    <row r="318" spans="3:27" ht="15" x14ac:dyDescent="0.2">
      <c r="D318" s="442" t="s">
        <v>215</v>
      </c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103"/>
      <c r="P318" s="103"/>
      <c r="Q318" s="103"/>
      <c r="R318" s="103"/>
      <c r="S318" s="103"/>
      <c r="T318" s="103"/>
      <c r="U318" s="103"/>
      <c r="V318" s="103"/>
      <c r="W318" s="103"/>
      <c r="X318" s="93"/>
      <c r="Y318" s="97"/>
      <c r="Z318" s="97"/>
      <c r="AA318" s="95"/>
    </row>
    <row r="319" spans="3:27" ht="15" x14ac:dyDescent="0.2">
      <c r="D319" s="442" t="s">
        <v>216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104"/>
      <c r="P319" s="104"/>
      <c r="Q319" s="104"/>
      <c r="R319" s="104"/>
      <c r="S319" s="104"/>
      <c r="T319" s="104"/>
      <c r="U319" s="104"/>
      <c r="V319" s="104"/>
      <c r="W319" s="104"/>
      <c r="X319" s="93"/>
      <c r="Y319" s="97"/>
      <c r="Z319" s="97"/>
      <c r="AA319" s="101"/>
    </row>
    <row r="320" spans="3:27" ht="15" x14ac:dyDescent="0.2">
      <c r="D320" s="443" t="s">
        <v>217</v>
      </c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101"/>
      <c r="P320" s="101"/>
      <c r="Q320" s="101"/>
      <c r="R320" s="101"/>
      <c r="S320" s="101"/>
      <c r="T320" s="101"/>
      <c r="U320" s="101"/>
      <c r="V320" s="101"/>
      <c r="W320" s="101"/>
      <c r="X320" s="93"/>
      <c r="Y320" s="97"/>
      <c r="Z320" s="97"/>
      <c r="AA320" s="101"/>
    </row>
    <row r="321" spans="4:27" ht="15" x14ac:dyDescent="0.2"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3"/>
      <c r="Y321" s="103"/>
      <c r="Z321" s="103"/>
      <c r="AA321" s="101"/>
    </row>
    <row r="322" spans="4:27" ht="15" x14ac:dyDescent="0.2">
      <c r="D322" s="101"/>
      <c r="E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3"/>
      <c r="Y322" s="103"/>
      <c r="Z322" s="103"/>
      <c r="AA322" s="101"/>
    </row>
    <row r="323" spans="4:27" ht="15" x14ac:dyDescent="0.2">
      <c r="F323" s="404"/>
      <c r="G323" s="404"/>
      <c r="H323" s="404"/>
      <c r="I323" s="404"/>
      <c r="J323" s="404"/>
      <c r="K323" s="404"/>
      <c r="L323" s="404"/>
      <c r="X323" s="104"/>
      <c r="Y323" s="104"/>
      <c r="Z323" s="104"/>
    </row>
    <row r="324" spans="4:27" ht="15" x14ac:dyDescent="0.2">
      <c r="X324" s="101"/>
      <c r="Y324" s="101"/>
      <c r="Z324" s="101"/>
    </row>
    <row r="325" spans="4:27" ht="15" hidden="1" x14ac:dyDescent="0.2">
      <c r="X325" s="101"/>
      <c r="Y325" s="101"/>
      <c r="Z325" s="101"/>
    </row>
    <row r="326" spans="4:27" ht="15" hidden="1" x14ac:dyDescent="0.2">
      <c r="X326" s="101"/>
      <c r="Y326" s="101"/>
      <c r="Z326" s="101"/>
    </row>
    <row r="327" spans="4:27" ht="15" hidden="1" x14ac:dyDescent="0.2"/>
    <row r="328" spans="4:27" ht="15" hidden="1" x14ac:dyDescent="0.2"/>
  </sheetData>
  <sheetProtection algorithmName="SHA-512" hashValue="rXK/G+fzgvq6041FXNlGkzTonKTKm0dwOg7slI3jCVBow/AxXgXO7oSvIcrpwrmGc4+ijxYo68AOlQA1SPRyrw==" saltValue="3AaxFNmG+zuKfYcubHUVrQ==" spinCount="100000" sheet="1" formatCells="0" selectLockedCells="1"/>
  <mergeCells count="339">
    <mergeCell ref="K6:M6"/>
    <mergeCell ref="C7:P7"/>
    <mergeCell ref="ED8:EE8"/>
    <mergeCell ref="D9:H9"/>
    <mergeCell ref="DT9:DU9"/>
    <mergeCell ref="DX9:DY9"/>
    <mergeCell ref="EL12:EN12"/>
    <mergeCell ref="DT14:DV14"/>
    <mergeCell ref="D15:F15"/>
    <mergeCell ref="H15:J15"/>
    <mergeCell ref="DT15:DU15"/>
    <mergeCell ref="EL15:EN15"/>
    <mergeCell ref="DT10:DV10"/>
    <mergeCell ref="EB10:ED10"/>
    <mergeCell ref="DT11:DU11"/>
    <mergeCell ref="DX11:DY11"/>
    <mergeCell ref="EB11:ED11"/>
    <mergeCell ref="D12:H12"/>
    <mergeCell ref="J12:L12"/>
    <mergeCell ref="DT12:DU12"/>
    <mergeCell ref="DT21:DU21"/>
    <mergeCell ref="C23:P23"/>
    <mergeCell ref="DT23:DU23"/>
    <mergeCell ref="J25:N25"/>
    <mergeCell ref="J26:N26"/>
    <mergeCell ref="DT26:DU26"/>
    <mergeCell ref="DT16:DU16"/>
    <mergeCell ref="DT17:DU17"/>
    <mergeCell ref="C18:P18"/>
    <mergeCell ref="DT18:DU18"/>
    <mergeCell ref="DT19:DU19"/>
    <mergeCell ref="DT20:DU20"/>
    <mergeCell ref="J31:N31"/>
    <mergeCell ref="EI31:EJ31"/>
    <mergeCell ref="J32:N32"/>
    <mergeCell ref="EI32:EJ32"/>
    <mergeCell ref="J33:N33"/>
    <mergeCell ref="J34:N34"/>
    <mergeCell ref="J27:N27"/>
    <mergeCell ref="DT27:DU27"/>
    <mergeCell ref="J28:N28"/>
    <mergeCell ref="DT28:DU28"/>
    <mergeCell ref="J29:N29"/>
    <mergeCell ref="J30:N30"/>
    <mergeCell ref="D42:E42"/>
    <mergeCell ref="F42:N42"/>
    <mergeCell ref="D43:E43"/>
    <mergeCell ref="F43:N43"/>
    <mergeCell ref="EI43:EJ43"/>
    <mergeCell ref="D44:E44"/>
    <mergeCell ref="F44:N44"/>
    <mergeCell ref="EI36:EJ36"/>
    <mergeCell ref="D38:E38"/>
    <mergeCell ref="F38:N38"/>
    <mergeCell ref="D39:E39"/>
    <mergeCell ref="F39:N39"/>
    <mergeCell ref="EI40:EJ40"/>
    <mergeCell ref="D61:J62"/>
    <mergeCell ref="D64:J64"/>
    <mergeCell ref="C67:P67"/>
    <mergeCell ref="J70:K70"/>
    <mergeCell ref="D72:E72"/>
    <mergeCell ref="H72:I72"/>
    <mergeCell ref="K72:M72"/>
    <mergeCell ref="C47:P47"/>
    <mergeCell ref="D49:K50"/>
    <mergeCell ref="D52:J52"/>
    <mergeCell ref="D54:J54"/>
    <mergeCell ref="D56:J56"/>
    <mergeCell ref="D58:J59"/>
    <mergeCell ref="D78:E78"/>
    <mergeCell ref="H78:I78"/>
    <mergeCell ref="L78:M78"/>
    <mergeCell ref="D79:E79"/>
    <mergeCell ref="H79:I79"/>
    <mergeCell ref="L79:M79"/>
    <mergeCell ref="D74:D75"/>
    <mergeCell ref="E75:J75"/>
    <mergeCell ref="D76:N76"/>
    <mergeCell ref="D77:E77"/>
    <mergeCell ref="H77:I77"/>
    <mergeCell ref="L77:M77"/>
    <mergeCell ref="D85:E85"/>
    <mergeCell ref="H85:I85"/>
    <mergeCell ref="D86:E86"/>
    <mergeCell ref="H86:I86"/>
    <mergeCell ref="D87:E87"/>
    <mergeCell ref="H87:I87"/>
    <mergeCell ref="W80:X80"/>
    <mergeCell ref="L81:M81"/>
    <mergeCell ref="W81:X81"/>
    <mergeCell ref="D82:N82"/>
    <mergeCell ref="D84:E84"/>
    <mergeCell ref="H84:I84"/>
    <mergeCell ref="E91:F91"/>
    <mergeCell ref="I91:J91"/>
    <mergeCell ref="Y91:AA91"/>
    <mergeCell ref="Y92:AA92"/>
    <mergeCell ref="D93:L93"/>
    <mergeCell ref="Y93:AA93"/>
    <mergeCell ref="D88:E88"/>
    <mergeCell ref="H88:I88"/>
    <mergeCell ref="Y88:AA88"/>
    <mergeCell ref="Y89:AA89"/>
    <mergeCell ref="H90:I90"/>
    <mergeCell ref="Y90:AA90"/>
    <mergeCell ref="Y96:AA96"/>
    <mergeCell ref="D97:N97"/>
    <mergeCell ref="D98:E98"/>
    <mergeCell ref="H98:I98"/>
    <mergeCell ref="L98:N98"/>
    <mergeCell ref="D99:E99"/>
    <mergeCell ref="H99:I99"/>
    <mergeCell ref="L99:N99"/>
    <mergeCell ref="D94:F94"/>
    <mergeCell ref="G94:H94"/>
    <mergeCell ref="K94:L94"/>
    <mergeCell ref="Y94:AA94"/>
    <mergeCell ref="D95:F95"/>
    <mergeCell ref="G95:H95"/>
    <mergeCell ref="Y95:AA95"/>
    <mergeCell ref="T119:U119"/>
    <mergeCell ref="D120:E120"/>
    <mergeCell ref="G120:H120"/>
    <mergeCell ref="J120:P120"/>
    <mergeCell ref="C100:E100"/>
    <mergeCell ref="D101:E101"/>
    <mergeCell ref="H101:I101"/>
    <mergeCell ref="L101:N101"/>
    <mergeCell ref="C116:P116"/>
    <mergeCell ref="D118:E118"/>
    <mergeCell ref="G118:H118"/>
    <mergeCell ref="J118:O118"/>
    <mergeCell ref="D121:E121"/>
    <mergeCell ref="G121:H121"/>
    <mergeCell ref="L121:O121"/>
    <mergeCell ref="D125:E125"/>
    <mergeCell ref="J125:K125"/>
    <mergeCell ref="M125:N125"/>
    <mergeCell ref="D119:E119"/>
    <mergeCell ref="G119:H119"/>
    <mergeCell ref="L119:O119"/>
    <mergeCell ref="T126:V126"/>
    <mergeCell ref="C148:P148"/>
    <mergeCell ref="J149:P163"/>
    <mergeCell ref="F150:H150"/>
    <mergeCell ref="F151:H151"/>
    <mergeCell ref="F152:H152"/>
    <mergeCell ref="F153:H153"/>
    <mergeCell ref="F154:H154"/>
    <mergeCell ref="F155:H155"/>
    <mergeCell ref="F156:H156"/>
    <mergeCell ref="C168:P168"/>
    <mergeCell ref="D170:O170"/>
    <mergeCell ref="K171:L171"/>
    <mergeCell ref="N171:O171"/>
    <mergeCell ref="D188:H188"/>
    <mergeCell ref="J188:O188"/>
    <mergeCell ref="F157:H157"/>
    <mergeCell ref="F158:H158"/>
    <mergeCell ref="F159:H159"/>
    <mergeCell ref="F160:H160"/>
    <mergeCell ref="F161:H161"/>
    <mergeCell ref="F162:H162"/>
    <mergeCell ref="C220:E222"/>
    <mergeCell ref="M220:M222"/>
    <mergeCell ref="N220:N222"/>
    <mergeCell ref="C223:E225"/>
    <mergeCell ref="M223:M225"/>
    <mergeCell ref="N223:N225"/>
    <mergeCell ref="N189:O189"/>
    <mergeCell ref="C217:P217"/>
    <mergeCell ref="F219:G219"/>
    <mergeCell ref="H219:I219"/>
    <mergeCell ref="J219:K219"/>
    <mergeCell ref="L219:M219"/>
    <mergeCell ref="C229:E231"/>
    <mergeCell ref="M229:M231"/>
    <mergeCell ref="N229:N231"/>
    <mergeCell ref="C232:E234"/>
    <mergeCell ref="M232:M234"/>
    <mergeCell ref="N232:N234"/>
    <mergeCell ref="AJ225:BS225"/>
    <mergeCell ref="C226:E228"/>
    <mergeCell ref="M226:M228"/>
    <mergeCell ref="N226:N228"/>
    <mergeCell ref="AJ226:AO226"/>
    <mergeCell ref="AP226:AT226"/>
    <mergeCell ref="C238:E240"/>
    <mergeCell ref="M238:M240"/>
    <mergeCell ref="N238:N240"/>
    <mergeCell ref="AJ238:AO238"/>
    <mergeCell ref="AJ239:AO239"/>
    <mergeCell ref="AJ240:AO240"/>
    <mergeCell ref="AJ234:BS234"/>
    <mergeCell ref="C235:E237"/>
    <mergeCell ref="M235:M237"/>
    <mergeCell ref="N235:N237"/>
    <mergeCell ref="AJ235:AO235"/>
    <mergeCell ref="AJ236:AO236"/>
    <mergeCell ref="AJ237:AO237"/>
    <mergeCell ref="C241:E243"/>
    <mergeCell ref="M241:M243"/>
    <mergeCell ref="N241:N243"/>
    <mergeCell ref="AJ241:AO241"/>
    <mergeCell ref="AJ242:AO242"/>
    <mergeCell ref="C244:E246"/>
    <mergeCell ref="M244:M246"/>
    <mergeCell ref="N244:N246"/>
    <mergeCell ref="AJ245:AL245"/>
    <mergeCell ref="BB245:BD245"/>
    <mergeCell ref="C247:E249"/>
    <mergeCell ref="M247:M249"/>
    <mergeCell ref="N247:N249"/>
    <mergeCell ref="AM247:AN247"/>
    <mergeCell ref="BC247:BD247"/>
    <mergeCell ref="AM248:AN248"/>
    <mergeCell ref="BC248:BD248"/>
    <mergeCell ref="AM249:AN249"/>
    <mergeCell ref="BC249:BD249"/>
    <mergeCell ref="C250:E252"/>
    <mergeCell ref="M250:M252"/>
    <mergeCell ref="N250:N252"/>
    <mergeCell ref="AM250:AN250"/>
    <mergeCell ref="BC250:BD250"/>
    <mergeCell ref="AM251:AN251"/>
    <mergeCell ref="BC251:BD251"/>
    <mergeCell ref="AM252:AN252"/>
    <mergeCell ref="BC252:BD252"/>
    <mergeCell ref="C253:E255"/>
    <mergeCell ref="M253:M255"/>
    <mergeCell ref="N253:N255"/>
    <mergeCell ref="AM253:AN253"/>
    <mergeCell ref="BC253:BD253"/>
    <mergeCell ref="C256:E258"/>
    <mergeCell ref="M256:M258"/>
    <mergeCell ref="N256:N258"/>
    <mergeCell ref="AM256:AN256"/>
    <mergeCell ref="BC256:BD256"/>
    <mergeCell ref="AM257:AN257"/>
    <mergeCell ref="BC257:BD257"/>
    <mergeCell ref="AM258:AN258"/>
    <mergeCell ref="AU258:AV258"/>
    <mergeCell ref="BC258:BD258"/>
    <mergeCell ref="C259:E261"/>
    <mergeCell ref="M259:M261"/>
    <mergeCell ref="N259:N261"/>
    <mergeCell ref="AM259:AN259"/>
    <mergeCell ref="BC259:BD259"/>
    <mergeCell ref="AM265:AN265"/>
    <mergeCell ref="BC265:BD265"/>
    <mergeCell ref="C266:F266"/>
    <mergeCell ref="G266:H266"/>
    <mergeCell ref="K266:L266"/>
    <mergeCell ref="M266:N266"/>
    <mergeCell ref="AM266:AN266"/>
    <mergeCell ref="BC266:BD266"/>
    <mergeCell ref="AM260:AN260"/>
    <mergeCell ref="BC260:BD260"/>
    <mergeCell ref="AM261:AN261"/>
    <mergeCell ref="BC261:BD261"/>
    <mergeCell ref="C262:E264"/>
    <mergeCell ref="M262:M264"/>
    <mergeCell ref="N262:N264"/>
    <mergeCell ref="AM262:AN262"/>
    <mergeCell ref="BC262:BD262"/>
    <mergeCell ref="H272:K272"/>
    <mergeCell ref="AM274:AN274"/>
    <mergeCell ref="BC274:BD274"/>
    <mergeCell ref="AM267:AN267"/>
    <mergeCell ref="BC267:BD267"/>
    <mergeCell ref="AM268:AN268"/>
    <mergeCell ref="BC268:BD268"/>
    <mergeCell ref="C269:P269"/>
    <mergeCell ref="AM269:AN269"/>
    <mergeCell ref="BC269:BD269"/>
    <mergeCell ref="AM275:AN275"/>
    <mergeCell ref="BC275:BD275"/>
    <mergeCell ref="AM276:AN276"/>
    <mergeCell ref="BC276:BD276"/>
    <mergeCell ref="AM277:AN277"/>
    <mergeCell ref="BC277:BD277"/>
    <mergeCell ref="AM270:AN270"/>
    <mergeCell ref="BC270:BD270"/>
    <mergeCell ref="AM271:AN271"/>
    <mergeCell ref="BC271:BD271"/>
    <mergeCell ref="H281:K281"/>
    <mergeCell ref="AM283:AN283"/>
    <mergeCell ref="BC283:BD283"/>
    <mergeCell ref="AM284:AN284"/>
    <mergeCell ref="BC284:BD284"/>
    <mergeCell ref="AM285:AN285"/>
    <mergeCell ref="BC285:BD285"/>
    <mergeCell ref="C278:P278"/>
    <mergeCell ref="AM278:AN278"/>
    <mergeCell ref="BC278:BD278"/>
    <mergeCell ref="AM279:AN279"/>
    <mergeCell ref="BC279:BD279"/>
    <mergeCell ref="AM280:AN280"/>
    <mergeCell ref="BC280:BD280"/>
    <mergeCell ref="C289:F289"/>
    <mergeCell ref="H289:I289"/>
    <mergeCell ref="K289:N289"/>
    <mergeCell ref="AM289:AN289"/>
    <mergeCell ref="BC289:BD289"/>
    <mergeCell ref="D290:E290"/>
    <mergeCell ref="H290:I290"/>
    <mergeCell ref="L290:N290"/>
    <mergeCell ref="AM286:AN286"/>
    <mergeCell ref="BC286:BD286"/>
    <mergeCell ref="C287:P287"/>
    <mergeCell ref="AM287:AN287"/>
    <mergeCell ref="BC287:BD287"/>
    <mergeCell ref="AM288:AN288"/>
    <mergeCell ref="BC288:BD288"/>
    <mergeCell ref="AM294:AN294"/>
    <mergeCell ref="BC294:BD294"/>
    <mergeCell ref="AM295:AN295"/>
    <mergeCell ref="BC295:BD295"/>
    <mergeCell ref="C296:P296"/>
    <mergeCell ref="AM296:AN296"/>
    <mergeCell ref="BC296:BD296"/>
    <mergeCell ref="D292:E292"/>
    <mergeCell ref="AM292:AN292"/>
    <mergeCell ref="BC292:BD292"/>
    <mergeCell ref="D293:E293"/>
    <mergeCell ref="AM293:AN293"/>
    <mergeCell ref="BC293:BD293"/>
    <mergeCell ref="D318:N318"/>
    <mergeCell ref="D319:N319"/>
    <mergeCell ref="D320:N320"/>
    <mergeCell ref="F323:L323"/>
    <mergeCell ref="C297:P316"/>
    <mergeCell ref="AM297:AN297"/>
    <mergeCell ref="BC297:BD297"/>
    <mergeCell ref="AM298:AN298"/>
    <mergeCell ref="BC298:BD298"/>
    <mergeCell ref="X304:Y304"/>
    <mergeCell ref="X315:Y315"/>
  </mergeCells>
  <conditionalFormatting sqref="L101:N101">
    <cfRule type="cellIs" dxfId="57" priority="13" operator="equal">
      <formula>"obesidade muito alta"</formula>
    </cfRule>
    <cfRule type="cellIs" dxfId="56" priority="14" operator="equal">
      <formula>"obesidade alta"</formula>
    </cfRule>
    <cfRule type="cellIs" dxfId="55" priority="15" operator="equal">
      <formula>"obesidade moderada"</formula>
    </cfRule>
    <cfRule type="cellIs" dxfId="54" priority="16" operator="equal">
      <formula>"pré-obesidade"</formula>
    </cfRule>
    <cfRule type="cellIs" dxfId="53" priority="17" operator="equal">
      <formula>"peso normal"</formula>
    </cfRule>
    <cfRule type="cellIs" dxfId="52" priority="18" operator="equal">
      <formula>"baixo peso leve"</formula>
    </cfRule>
    <cfRule type="cellIs" dxfId="51" priority="19" operator="equal">
      <formula>"baixo peso moderado"</formula>
    </cfRule>
    <cfRule type="cellIs" dxfId="50" priority="20" operator="equal">
      <formula>"baixo peso severo"</formula>
    </cfRule>
  </conditionalFormatting>
  <conditionalFormatting sqref="BH95">
    <cfRule type="cellIs" dxfId="49" priority="9" operator="equal">
      <formula>"Endomorfo"</formula>
    </cfRule>
  </conditionalFormatting>
  <conditionalFormatting sqref="BC62:BE62">
    <cfRule type="expression" dxfId="48" priority="12">
      <formula>$Z$47&gt;$Z$48=$Z$49</formula>
    </cfRule>
  </conditionalFormatting>
  <conditionalFormatting sqref="BC104:BE104">
    <cfRule type="expression" dxfId="47" priority="11" stopIfTrue="1">
      <formula>$AA$86=$AB$86=$AC$86</formula>
    </cfRule>
  </conditionalFormatting>
  <conditionalFormatting sqref="BI98">
    <cfRule type="expression" priority="10" stopIfTrue="1">
      <formula>"$AA$82&gt;$AB$82=$AC$82;""ENDOMORFO"""</formula>
    </cfRule>
  </conditionalFormatting>
  <conditionalFormatting sqref="EB11:ED11">
    <cfRule type="cellIs" dxfId="46" priority="1" operator="equal">
      <formula>"obesidade muito alta"</formula>
    </cfRule>
    <cfRule type="cellIs" dxfId="45" priority="2" operator="equal">
      <formula>"obesidade alta"</formula>
    </cfRule>
    <cfRule type="cellIs" dxfId="44" priority="3" operator="equal">
      <formula>"obesidade moderada"</formula>
    </cfRule>
    <cfRule type="cellIs" dxfId="43" priority="4" operator="equal">
      <formula>"pré-obesidade"</formula>
    </cfRule>
    <cfRule type="cellIs" dxfId="42" priority="5" operator="equal">
      <formula>"peso normal"</formula>
    </cfRule>
    <cfRule type="cellIs" dxfId="41" priority="6" operator="equal">
      <formula>"baixo peso leve"</formula>
    </cfRule>
    <cfRule type="cellIs" dxfId="40" priority="7" operator="equal">
      <formula>"baixo peso moderado"</formula>
    </cfRule>
    <cfRule type="cellIs" dxfId="39" priority="8" operator="equal">
      <formula>"baixo peso severo"</formula>
    </cfRule>
  </conditionalFormatting>
  <dataValidations count="2">
    <dataValidation type="list" allowBlank="1" showInputMessage="1" showErrorMessage="1" sqref="L9" xr:uid="{8DAC38C9-55F3-4675-AF1B-255C233E13E0}">
      <formula1>"Feminino, Masculino"</formula1>
    </dataValidation>
    <dataValidation type="list" allowBlank="1" showInputMessage="1" showErrorMessage="1" sqref="E75:J75" xr:uid="{90FC1F1F-875F-49E3-9432-EF589D167903}">
      <formula1>$S$67:$S$75</formula1>
    </dataValidation>
  </dataValidations>
  <printOptions horizontalCentered="1"/>
  <pageMargins left="0.31496062992125984" right="0.11811023622047245" top="0.31496062992125984" bottom="0.31496062992125984" header="0.31496062992125984" footer="0.31496062992125984"/>
  <pageSetup paperSize="9" scale="90" fitToHeight="0" orientation="portrait" r:id="rId1"/>
  <headerFooter differentFirst="1"/>
  <rowBreaks count="4" manualBreakCount="4">
    <brk id="65" min="1" max="16" man="1"/>
    <brk id="121" min="1" max="16" man="1"/>
    <brk id="213" min="1" max="16" man="1"/>
    <brk id="26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aixa de seleção 2">
              <controlPr defaultSize="0" autoFill="0" autoLine="0" autoPict="0">
                <anchor moveWithCells="1">
                  <from>
                    <xdr:col>3</xdr:col>
                    <xdr:colOff>83820</xdr:colOff>
                    <xdr:row>18</xdr:row>
                    <xdr:rowOff>91440</xdr:rowOff>
                  </from>
                  <to>
                    <xdr:col>3</xdr:col>
                    <xdr:colOff>975360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Caixa de seleção 3">
              <controlPr defaultSize="0" autoFill="0" autoLine="0" autoPict="0">
                <anchor moveWithCells="1">
                  <from>
                    <xdr:col>4</xdr:col>
                    <xdr:colOff>7620</xdr:colOff>
                    <xdr:row>18</xdr:row>
                    <xdr:rowOff>91440</xdr:rowOff>
                  </from>
                  <to>
                    <xdr:col>5</xdr:col>
                    <xdr:colOff>731520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Caixa de seleção 4">
              <controlPr defaultSize="0" autoFill="0" autoLine="0" autoPict="0">
                <anchor moveWithCells="1">
                  <from>
                    <xdr:col>8</xdr:col>
                    <xdr:colOff>175260</xdr:colOff>
                    <xdr:row>18</xdr:row>
                    <xdr:rowOff>91440</xdr:rowOff>
                  </from>
                  <to>
                    <xdr:col>9</xdr:col>
                    <xdr:colOff>1089660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Caixa de seleção 5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91440</xdr:rowOff>
                  </from>
                  <to>
                    <xdr:col>7</xdr:col>
                    <xdr:colOff>990600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Caixa de seleção 6">
              <controlPr defaultSize="0" autoFill="0" autoLine="0" autoPict="0">
                <anchor moveWithCells="1">
                  <from>
                    <xdr:col>11</xdr:col>
                    <xdr:colOff>76200</xdr:colOff>
                    <xdr:row>18</xdr:row>
                    <xdr:rowOff>91440</xdr:rowOff>
                  </from>
                  <to>
                    <xdr:col>12</xdr:col>
                    <xdr:colOff>60960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Caixa de seleção 6">
              <controlPr defaultSize="0" autoFill="0" autoLine="0" autoPict="0">
                <anchor moveWithCells="1">
                  <from>
                    <xdr:col>13</xdr:col>
                    <xdr:colOff>137160</xdr:colOff>
                    <xdr:row>18</xdr:row>
                    <xdr:rowOff>83820</xdr:rowOff>
                  </from>
                  <to>
                    <xdr:col>14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Caixa de seleção 42">
              <controlPr defaultSize="0" autoFill="0" autoLine="0" autoPict="0">
                <anchor moveWithCells="1">
                  <from>
                    <xdr:col>4</xdr:col>
                    <xdr:colOff>30480</xdr:colOff>
                    <xdr:row>169</xdr:row>
                    <xdr:rowOff>175260</xdr:rowOff>
                  </from>
                  <to>
                    <xdr:col>5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Caixa de seleção 44">
              <controlPr defaultSize="0" autoFill="0" autoLine="0" autoPict="0">
                <anchor moveWithCells="1">
                  <from>
                    <xdr:col>6</xdr:col>
                    <xdr:colOff>22860</xdr:colOff>
                    <xdr:row>169</xdr:row>
                    <xdr:rowOff>175260</xdr:rowOff>
                  </from>
                  <to>
                    <xdr:col>7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Caixa de seleção 45">
              <controlPr defaultSize="0" autoFill="0" autoLine="0" autoPict="0">
                <anchor moveWithCells="1">
                  <from>
                    <xdr:col>8</xdr:col>
                    <xdr:colOff>30480</xdr:colOff>
                    <xdr:row>169</xdr:row>
                    <xdr:rowOff>175260</xdr:rowOff>
                  </from>
                  <to>
                    <xdr:col>9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Caixa de seleção 47">
              <controlPr defaultSize="0" autoFill="0" autoLine="0" autoPict="0">
                <anchor moveWithCells="1">
                  <from>
                    <xdr:col>4</xdr:col>
                    <xdr:colOff>38100</xdr:colOff>
                    <xdr:row>171</xdr:row>
                    <xdr:rowOff>68580</xdr:rowOff>
                  </from>
                  <to>
                    <xdr:col>5</xdr:col>
                    <xdr:colOff>609600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Caixa de seleção 48">
              <controlPr defaultSize="0" autoFill="0" autoLine="0" autoPict="0">
                <anchor moveWithCells="1">
                  <from>
                    <xdr:col>6</xdr:col>
                    <xdr:colOff>22860</xdr:colOff>
                    <xdr:row>171</xdr:row>
                    <xdr:rowOff>68580</xdr:rowOff>
                  </from>
                  <to>
                    <xdr:col>7</xdr:col>
                    <xdr:colOff>563880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Caixa de seleção 49">
              <controlPr defaultSize="0" autoFill="0" autoLine="0" autoPict="0">
                <anchor moveWithCells="1">
                  <from>
                    <xdr:col>8</xdr:col>
                    <xdr:colOff>22860</xdr:colOff>
                    <xdr:row>171</xdr:row>
                    <xdr:rowOff>68580</xdr:rowOff>
                  </from>
                  <to>
                    <xdr:col>9</xdr:col>
                    <xdr:colOff>899160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Caixa de seleção 50">
              <controlPr defaultSize="0" autoFill="0" autoLine="0" autoPict="0">
                <anchor moveWithCells="1">
                  <from>
                    <xdr:col>4</xdr:col>
                    <xdr:colOff>30480</xdr:colOff>
                    <xdr:row>175</xdr:row>
                    <xdr:rowOff>76200</xdr:rowOff>
                  </from>
                  <to>
                    <xdr:col>5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Caixa de seleção 51">
              <controlPr defaultSize="0" autoFill="0" autoLine="0" autoPict="0">
                <anchor moveWithCells="1">
                  <from>
                    <xdr:col>6</xdr:col>
                    <xdr:colOff>22860</xdr:colOff>
                    <xdr:row>175</xdr:row>
                    <xdr:rowOff>76200</xdr:rowOff>
                  </from>
                  <to>
                    <xdr:col>7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Caixa de seleção 52">
              <controlPr defaultSize="0" autoFill="0" autoLine="0" autoPict="0">
                <anchor moveWithCells="1">
                  <from>
                    <xdr:col>8</xdr:col>
                    <xdr:colOff>30480</xdr:colOff>
                    <xdr:row>175</xdr:row>
                    <xdr:rowOff>76200</xdr:rowOff>
                  </from>
                  <to>
                    <xdr:col>9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Caixa de seleção 53">
              <controlPr defaultSize="0" autoFill="0" autoLine="0" autoPict="0">
                <anchor moveWithCells="1">
                  <from>
                    <xdr:col>4</xdr:col>
                    <xdr:colOff>30480</xdr:colOff>
                    <xdr:row>177</xdr:row>
                    <xdr:rowOff>76200</xdr:rowOff>
                  </from>
                  <to>
                    <xdr:col>5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Caixa de seleção 54">
              <controlPr defaultSize="0" autoFill="0" autoLine="0" autoPict="0">
                <anchor moveWithCells="1">
                  <from>
                    <xdr:col>6</xdr:col>
                    <xdr:colOff>22860</xdr:colOff>
                    <xdr:row>177</xdr:row>
                    <xdr:rowOff>76200</xdr:rowOff>
                  </from>
                  <to>
                    <xdr:col>7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Caixa de seleção 55">
              <controlPr defaultSize="0" autoFill="0" autoLine="0" autoPict="0">
                <anchor moveWithCells="1">
                  <from>
                    <xdr:col>8</xdr:col>
                    <xdr:colOff>30480</xdr:colOff>
                    <xdr:row>177</xdr:row>
                    <xdr:rowOff>76200</xdr:rowOff>
                  </from>
                  <to>
                    <xdr:col>9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Caixa de seleção 59">
              <controlPr defaultSize="0" autoFill="0" autoLine="0" autoPict="0">
                <anchor moveWithCells="1">
                  <from>
                    <xdr:col>4</xdr:col>
                    <xdr:colOff>30480</xdr:colOff>
                    <xdr:row>179</xdr:row>
                    <xdr:rowOff>76200</xdr:rowOff>
                  </from>
                  <to>
                    <xdr:col>5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Caixa de seleção 60">
              <controlPr defaultSize="0" autoFill="0" autoLine="0" autoPict="0">
                <anchor moveWithCells="1">
                  <from>
                    <xdr:col>6</xdr:col>
                    <xdr:colOff>22860</xdr:colOff>
                    <xdr:row>179</xdr:row>
                    <xdr:rowOff>76200</xdr:rowOff>
                  </from>
                  <to>
                    <xdr:col>7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5" r:id="rId24" name="Caixa de seleção 61">
              <controlPr defaultSize="0" autoFill="0" autoLine="0" autoPict="0">
                <anchor moveWithCells="1">
                  <from>
                    <xdr:col>8</xdr:col>
                    <xdr:colOff>30480</xdr:colOff>
                    <xdr:row>179</xdr:row>
                    <xdr:rowOff>76200</xdr:rowOff>
                  </from>
                  <to>
                    <xdr:col>9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6" r:id="rId25" name="Caixa de seleção 62">
              <controlPr defaultSize="0" autoFill="0" autoLine="0" autoPict="0">
                <anchor moveWithCells="1">
                  <from>
                    <xdr:col>4</xdr:col>
                    <xdr:colOff>30480</xdr:colOff>
                    <xdr:row>181</xdr:row>
                    <xdr:rowOff>76200</xdr:rowOff>
                  </from>
                  <to>
                    <xdr:col>5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7" r:id="rId26" name="Caixa de seleção 63">
              <controlPr defaultSize="0" autoFill="0" autoLine="0" autoPict="0">
                <anchor moveWithCells="1">
                  <from>
                    <xdr:col>6</xdr:col>
                    <xdr:colOff>22860</xdr:colOff>
                    <xdr:row>181</xdr:row>
                    <xdr:rowOff>76200</xdr:rowOff>
                  </from>
                  <to>
                    <xdr:col>7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8" r:id="rId27" name="Caixa de seleção 64">
              <controlPr defaultSize="0" autoFill="0" autoLine="0" autoPict="0">
                <anchor moveWithCells="1">
                  <from>
                    <xdr:col>8</xdr:col>
                    <xdr:colOff>30480</xdr:colOff>
                    <xdr:row>181</xdr:row>
                    <xdr:rowOff>76200</xdr:rowOff>
                  </from>
                  <to>
                    <xdr:col>9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9" r:id="rId28" name="Caixa de seleção 107">
              <controlPr defaultSize="0" autoFill="0" autoLine="0" autoPict="0">
                <anchor moveWithCells="1">
                  <from>
                    <xdr:col>4</xdr:col>
                    <xdr:colOff>30480</xdr:colOff>
                    <xdr:row>173</xdr:row>
                    <xdr:rowOff>68580</xdr:rowOff>
                  </from>
                  <to>
                    <xdr:col>5</xdr:col>
                    <xdr:colOff>579120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0" r:id="rId29" name="Caixa de seleção 108">
              <controlPr defaultSize="0" autoFill="0" autoLine="0" autoPict="0">
                <anchor moveWithCells="1">
                  <from>
                    <xdr:col>6</xdr:col>
                    <xdr:colOff>22860</xdr:colOff>
                    <xdr:row>173</xdr:row>
                    <xdr:rowOff>68580</xdr:rowOff>
                  </from>
                  <to>
                    <xdr:col>7</xdr:col>
                    <xdr:colOff>563880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1" r:id="rId30" name="Caixa de seleção 109">
              <controlPr defaultSize="0" autoFill="0" autoLine="0" autoPict="0">
                <anchor moveWithCells="1">
                  <from>
                    <xdr:col>6</xdr:col>
                    <xdr:colOff>22860</xdr:colOff>
                    <xdr:row>183</xdr:row>
                    <xdr:rowOff>76200</xdr:rowOff>
                  </from>
                  <to>
                    <xdr:col>7</xdr:col>
                    <xdr:colOff>594360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2" r:id="rId31" name="Caixa de seleção 110">
              <controlPr defaultSize="0" autoFill="0" autoLine="0" autoPict="0">
                <anchor moveWithCells="1">
                  <from>
                    <xdr:col>4</xdr:col>
                    <xdr:colOff>22860</xdr:colOff>
                    <xdr:row>183</xdr:row>
                    <xdr:rowOff>76200</xdr:rowOff>
                  </from>
                  <to>
                    <xdr:col>5</xdr:col>
                    <xdr:colOff>579120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3" r:id="rId32" name="Caixa de seleção 111">
              <controlPr defaultSize="0" autoFill="0" autoLine="0" autoPict="0">
                <anchor moveWithCells="1">
                  <from>
                    <xdr:col>8</xdr:col>
                    <xdr:colOff>30480</xdr:colOff>
                    <xdr:row>183</xdr:row>
                    <xdr:rowOff>76200</xdr:rowOff>
                  </from>
                  <to>
                    <xdr:col>9</xdr:col>
                    <xdr:colOff>579120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4" r:id="rId33" name="Caixa de seleção 112">
              <controlPr defaultSize="0" autoFill="0" autoLine="0" autoPict="0">
                <anchor moveWithCells="1">
                  <from>
                    <xdr:col>4</xdr:col>
                    <xdr:colOff>22860</xdr:colOff>
                    <xdr:row>184</xdr:row>
                    <xdr:rowOff>182880</xdr:rowOff>
                  </from>
                  <to>
                    <xdr:col>5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5" r:id="rId34" name="Caixa de seleção 46">
              <controlPr defaultSize="0" autoFill="0" autoLine="0" autoPict="0">
                <anchor moveWithCells="1">
                  <from>
                    <xdr:col>2</xdr:col>
                    <xdr:colOff>53340</xdr:colOff>
                    <xdr:row>199</xdr:row>
                    <xdr:rowOff>7620</xdr:rowOff>
                  </from>
                  <to>
                    <xdr:col>3</xdr:col>
                    <xdr:colOff>723900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6" r:id="rId35" name="Caixa de seleção 65">
              <controlPr defaultSize="0" autoFill="0" autoLine="0" autoPict="0">
                <anchor moveWithCells="1">
                  <from>
                    <xdr:col>2</xdr:col>
                    <xdr:colOff>53340</xdr:colOff>
                    <xdr:row>190</xdr:row>
                    <xdr:rowOff>7620</xdr:rowOff>
                  </from>
                  <to>
                    <xdr:col>3</xdr:col>
                    <xdr:colOff>708660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7" r:id="rId36" name="Caixa de seleção 66">
              <controlPr defaultSize="0" autoFill="0" autoLine="0" autoPict="0">
                <anchor moveWithCells="1">
                  <from>
                    <xdr:col>2</xdr:col>
                    <xdr:colOff>53340</xdr:colOff>
                    <xdr:row>189</xdr:row>
                    <xdr:rowOff>7620</xdr:rowOff>
                  </from>
                  <to>
                    <xdr:col>5</xdr:col>
                    <xdr:colOff>99060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8" r:id="rId37" name="Caixa de seleção 67">
              <controlPr defaultSize="0" autoFill="0" autoLine="0" autoPict="0">
                <anchor moveWithCells="1">
                  <from>
                    <xdr:col>4</xdr:col>
                    <xdr:colOff>137160</xdr:colOff>
                    <xdr:row>189</xdr:row>
                    <xdr:rowOff>7620</xdr:rowOff>
                  </from>
                  <to>
                    <xdr:col>7</xdr:col>
                    <xdr:colOff>259080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9" r:id="rId38" name="Caixa de seleção 69">
              <controlPr defaultSize="0" autoFill="0" autoLine="0" autoPict="0">
                <anchor moveWithCells="1">
                  <from>
                    <xdr:col>2</xdr:col>
                    <xdr:colOff>53340</xdr:colOff>
                    <xdr:row>198</xdr:row>
                    <xdr:rowOff>7620</xdr:rowOff>
                  </from>
                  <to>
                    <xdr:col>5</xdr:col>
                    <xdr:colOff>22860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0" r:id="rId39" name="Caixa de seleção 70">
              <controlPr defaultSize="0" autoFill="0" autoLine="0" autoPict="0">
                <anchor moveWithCells="1">
                  <from>
                    <xdr:col>4</xdr:col>
                    <xdr:colOff>137160</xdr:colOff>
                    <xdr:row>198</xdr:row>
                    <xdr:rowOff>7620</xdr:rowOff>
                  </from>
                  <to>
                    <xdr:col>7</xdr:col>
                    <xdr:colOff>83820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1" r:id="rId40" name="Caixa de seleção 71">
              <controlPr defaultSize="0" autoFill="0" autoLine="0" autoPict="0">
                <anchor moveWithCells="1">
                  <from>
                    <xdr:col>2</xdr:col>
                    <xdr:colOff>53340</xdr:colOff>
                    <xdr:row>195</xdr:row>
                    <xdr:rowOff>7620</xdr:rowOff>
                  </from>
                  <to>
                    <xdr:col>3</xdr:col>
                    <xdr:colOff>708660</xdr:colOff>
                    <xdr:row>196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2" r:id="rId41" name="Caixa de seleção 72">
              <controlPr defaultSize="0" autoFill="0" autoLine="0" autoPict="0">
                <anchor moveWithCells="1">
                  <from>
                    <xdr:col>2</xdr:col>
                    <xdr:colOff>53340</xdr:colOff>
                    <xdr:row>193</xdr:row>
                    <xdr:rowOff>7620</xdr:rowOff>
                  </from>
                  <to>
                    <xdr:col>4</xdr:col>
                    <xdr:colOff>137160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3" r:id="rId42" name="Caixa de seleção 73">
              <controlPr defaultSize="0" autoFill="0" autoLine="0" autoPict="0">
                <anchor moveWithCells="1">
                  <from>
                    <xdr:col>4</xdr:col>
                    <xdr:colOff>137160</xdr:colOff>
                    <xdr:row>193</xdr:row>
                    <xdr:rowOff>7620</xdr:rowOff>
                  </from>
                  <to>
                    <xdr:col>5</xdr:col>
                    <xdr:colOff>708660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4" r:id="rId43" name="Caixa de seleção 77">
              <controlPr defaultSize="0" autoFill="0" autoLine="0" autoPict="0">
                <anchor moveWithCells="1">
                  <from>
                    <xdr:col>2</xdr:col>
                    <xdr:colOff>53340</xdr:colOff>
                    <xdr:row>194</xdr:row>
                    <xdr:rowOff>7620</xdr:rowOff>
                  </from>
                  <to>
                    <xdr:col>3</xdr:col>
                    <xdr:colOff>975360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5" r:id="rId44" name="Caixa de seleção 78">
              <controlPr defaultSize="0" autoFill="0" autoLine="0" autoPict="0">
                <anchor moveWithCells="1">
                  <from>
                    <xdr:col>4</xdr:col>
                    <xdr:colOff>137160</xdr:colOff>
                    <xdr:row>194</xdr:row>
                    <xdr:rowOff>7620</xdr:rowOff>
                  </from>
                  <to>
                    <xdr:col>6</xdr:col>
                    <xdr:colOff>99060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6" r:id="rId45" name="Caixa de seleção 80">
              <controlPr defaultSize="0" autoFill="0" autoLine="0" autoPict="0">
                <anchor moveWithCells="1">
                  <from>
                    <xdr:col>2</xdr:col>
                    <xdr:colOff>53340</xdr:colOff>
                    <xdr:row>211</xdr:row>
                    <xdr:rowOff>0</xdr:rowOff>
                  </from>
                  <to>
                    <xdr:col>3</xdr:col>
                    <xdr:colOff>708660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7" r:id="rId46" name="Caixa de seleção 81">
              <controlPr defaultSize="0" autoFill="0" autoLine="0" autoPict="0">
                <anchor moveWithCells="1">
                  <from>
                    <xdr:col>4</xdr:col>
                    <xdr:colOff>144780</xdr:colOff>
                    <xdr:row>211</xdr:row>
                    <xdr:rowOff>0</xdr:rowOff>
                  </from>
                  <to>
                    <xdr:col>5</xdr:col>
                    <xdr:colOff>685800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8" r:id="rId47" name="Caixa de seleção 83">
              <controlPr defaultSize="0" autoFill="0" autoLine="0" autoPict="0">
                <anchor moveWithCells="1">
                  <from>
                    <xdr:col>2</xdr:col>
                    <xdr:colOff>53340</xdr:colOff>
                    <xdr:row>208</xdr:row>
                    <xdr:rowOff>7620</xdr:rowOff>
                  </from>
                  <to>
                    <xdr:col>3</xdr:col>
                    <xdr:colOff>708660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9" r:id="rId48" name="Caixa de seleção 84">
              <controlPr defaultSize="0" autoFill="0" autoLine="0" autoPict="0">
                <anchor moveWithCells="1">
                  <from>
                    <xdr:col>4</xdr:col>
                    <xdr:colOff>144780</xdr:colOff>
                    <xdr:row>208</xdr:row>
                    <xdr:rowOff>7620</xdr:rowOff>
                  </from>
                  <to>
                    <xdr:col>5</xdr:col>
                    <xdr:colOff>685800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0" r:id="rId49" name="Caixa de seleção 85">
              <controlPr defaultSize="0" autoFill="0" autoLine="0" autoPict="0">
                <anchor moveWithCells="1">
                  <from>
                    <xdr:col>5</xdr:col>
                    <xdr:colOff>838200</xdr:colOff>
                    <xdr:row>208</xdr:row>
                    <xdr:rowOff>15240</xdr:rowOff>
                  </from>
                  <to>
                    <xdr:col>7</xdr:col>
                    <xdr:colOff>403860</xdr:colOff>
                    <xdr:row>209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1" r:id="rId50" name="Caixa de seleção 86">
              <controlPr defaultSize="0" autoFill="0" autoLine="0" autoPict="0">
                <anchor moveWithCells="1">
                  <from>
                    <xdr:col>8</xdr:col>
                    <xdr:colOff>137160</xdr:colOff>
                    <xdr:row>189</xdr:row>
                    <xdr:rowOff>7620</xdr:rowOff>
                  </from>
                  <to>
                    <xdr:col>9</xdr:col>
                    <xdr:colOff>708660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2" r:id="rId51" name="Caixa de seleção 87">
              <controlPr defaultSize="0" autoFill="0" autoLine="0" autoPict="0">
                <anchor moveWithCells="1">
                  <from>
                    <xdr:col>10</xdr:col>
                    <xdr:colOff>137160</xdr:colOff>
                    <xdr:row>189</xdr:row>
                    <xdr:rowOff>7620</xdr:rowOff>
                  </from>
                  <to>
                    <xdr:col>11</xdr:col>
                    <xdr:colOff>670560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3" r:id="rId52" name="Caixa de seleção 92">
              <controlPr defaultSize="0" autoFill="0" autoLine="0" autoPict="0">
                <anchor moveWithCells="1">
                  <from>
                    <xdr:col>8</xdr:col>
                    <xdr:colOff>137160</xdr:colOff>
                    <xdr:row>198</xdr:row>
                    <xdr:rowOff>167640</xdr:rowOff>
                  </from>
                  <to>
                    <xdr:col>9</xdr:col>
                    <xdr:colOff>693420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4" r:id="rId53" name="Caixa de seleção 93">
              <controlPr defaultSize="0" autoFill="0" autoLine="0" autoPict="0">
                <anchor moveWithCells="1">
                  <from>
                    <xdr:col>8</xdr:col>
                    <xdr:colOff>137160</xdr:colOff>
                    <xdr:row>197</xdr:row>
                    <xdr:rowOff>175260</xdr:rowOff>
                  </from>
                  <to>
                    <xdr:col>9</xdr:col>
                    <xdr:colOff>708660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5" r:id="rId54" name="Caixa de seleção 94">
              <controlPr defaultSize="0" autoFill="0" autoLine="0" autoPict="0">
                <anchor moveWithCells="1">
                  <from>
                    <xdr:col>10</xdr:col>
                    <xdr:colOff>137160</xdr:colOff>
                    <xdr:row>197</xdr:row>
                    <xdr:rowOff>175260</xdr:rowOff>
                  </from>
                  <to>
                    <xdr:col>11</xdr:col>
                    <xdr:colOff>693420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6" r:id="rId55" name="Caixa de seleção 95">
              <controlPr defaultSize="0" autoFill="0" autoLine="0" autoPict="0">
                <anchor moveWithCells="1">
                  <from>
                    <xdr:col>8</xdr:col>
                    <xdr:colOff>137160</xdr:colOff>
                    <xdr:row>204</xdr:row>
                    <xdr:rowOff>175260</xdr:rowOff>
                  </from>
                  <to>
                    <xdr:col>9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7" r:id="rId56" name="Caixa de seleção 96">
              <controlPr defaultSize="0" autoFill="0" autoLine="0" autoPict="0">
                <anchor moveWithCells="1">
                  <from>
                    <xdr:col>8</xdr:col>
                    <xdr:colOff>137160</xdr:colOff>
                    <xdr:row>203</xdr:row>
                    <xdr:rowOff>175260</xdr:rowOff>
                  </from>
                  <to>
                    <xdr:col>9</xdr:col>
                    <xdr:colOff>708660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8" r:id="rId57" name="Caixa de seleção 97">
              <controlPr defaultSize="0" autoFill="0" autoLine="0" autoPict="0">
                <anchor moveWithCells="1">
                  <from>
                    <xdr:col>10</xdr:col>
                    <xdr:colOff>137160</xdr:colOff>
                    <xdr:row>203</xdr:row>
                    <xdr:rowOff>175260</xdr:rowOff>
                  </from>
                  <to>
                    <xdr:col>11</xdr:col>
                    <xdr:colOff>693420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9" r:id="rId58" name="Caixa de seleção 98">
              <controlPr defaultSize="0" autoFill="0" autoLine="0" autoPict="0">
                <anchor moveWithCells="1">
                  <from>
                    <xdr:col>8</xdr:col>
                    <xdr:colOff>137160</xdr:colOff>
                    <xdr:row>193</xdr:row>
                    <xdr:rowOff>175260</xdr:rowOff>
                  </from>
                  <to>
                    <xdr:col>9</xdr:col>
                    <xdr:colOff>693420</xdr:colOff>
                    <xdr:row>195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0" r:id="rId59" name="Caixa de seleção 104">
              <controlPr defaultSize="0" autoFill="0" autoLine="0" autoPict="0">
                <anchor moveWithCells="1">
                  <from>
                    <xdr:col>2</xdr:col>
                    <xdr:colOff>53340</xdr:colOff>
                    <xdr:row>204</xdr:row>
                    <xdr:rowOff>175260</xdr:rowOff>
                  </from>
                  <to>
                    <xdr:col>3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1" r:id="rId60" name="Caixa de seleção 105">
              <controlPr defaultSize="0" autoFill="0" autoLine="0" autoPict="0">
                <anchor moveWithCells="1">
                  <from>
                    <xdr:col>4</xdr:col>
                    <xdr:colOff>129540</xdr:colOff>
                    <xdr:row>203</xdr:row>
                    <xdr:rowOff>175260</xdr:rowOff>
                  </from>
                  <to>
                    <xdr:col>7</xdr:col>
                    <xdr:colOff>7620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2" r:id="rId61" name="Caixa de seleção 106">
              <controlPr defaultSize="0" autoFill="0" autoLine="0" autoPict="0">
                <anchor moveWithCells="1">
                  <from>
                    <xdr:col>2</xdr:col>
                    <xdr:colOff>53340</xdr:colOff>
                    <xdr:row>203</xdr:row>
                    <xdr:rowOff>175260</xdr:rowOff>
                  </from>
                  <to>
                    <xdr:col>4</xdr:col>
                    <xdr:colOff>144780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3" r:id="rId62" name="Check Box 59">
              <controlPr defaultSize="0" autoFill="0" autoLine="0" autoPict="0">
                <anchor moveWithCells="1">
                  <from>
                    <xdr:col>12</xdr:col>
                    <xdr:colOff>0</xdr:colOff>
                    <xdr:row>47</xdr:row>
                    <xdr:rowOff>175260</xdr:rowOff>
                  </from>
                  <to>
                    <xdr:col>13</xdr:col>
                    <xdr:colOff>495300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4" r:id="rId63" name="Check Box 60">
              <controlPr defaultSize="0" autoFill="0" autoLine="0" autoPict="0">
                <anchor moveWithCells="1">
                  <from>
                    <xdr:col>13</xdr:col>
                    <xdr:colOff>327660</xdr:colOff>
                    <xdr:row>47</xdr:row>
                    <xdr:rowOff>175260</xdr:rowOff>
                  </from>
                  <to>
                    <xdr:col>14</xdr:col>
                    <xdr:colOff>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5" r:id="rId64" name="Check Box 61">
              <controlPr defaultSize="0" autoFill="0" autoLine="0" autoPict="0">
                <anchor moveWithCells="1">
                  <from>
                    <xdr:col>12</xdr:col>
                    <xdr:colOff>0</xdr:colOff>
                    <xdr:row>50</xdr:row>
                    <xdr:rowOff>53340</xdr:rowOff>
                  </from>
                  <to>
                    <xdr:col>13</xdr:col>
                    <xdr:colOff>495300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6" r:id="rId65" name="Check Box 62">
              <controlPr defaultSize="0" autoFill="0" autoLine="0" autoPict="0">
                <anchor moveWithCells="1">
                  <from>
                    <xdr:col>13</xdr:col>
                    <xdr:colOff>327660</xdr:colOff>
                    <xdr:row>50</xdr:row>
                    <xdr:rowOff>53340</xdr:rowOff>
                  </from>
                  <to>
                    <xdr:col>14</xdr:col>
                    <xdr:colOff>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7" r:id="rId66" name="Check Box 63">
              <controlPr defaultSize="0" autoFill="0" autoLine="0" autoPict="0">
                <anchor moveWithCells="1">
                  <from>
                    <xdr:col>12</xdr:col>
                    <xdr:colOff>0</xdr:colOff>
                    <xdr:row>52</xdr:row>
                    <xdr:rowOff>45720</xdr:rowOff>
                  </from>
                  <to>
                    <xdr:col>13</xdr:col>
                    <xdr:colOff>495300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8" r:id="rId67" name="Check Box 64">
              <controlPr defaultSize="0" autoFill="0" autoLine="0" autoPict="0">
                <anchor moveWithCells="1">
                  <from>
                    <xdr:col>13</xdr:col>
                    <xdr:colOff>327660</xdr:colOff>
                    <xdr:row>52</xdr:row>
                    <xdr:rowOff>45720</xdr:rowOff>
                  </from>
                  <to>
                    <xdr:col>14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9" r:id="rId68" name="Check Box 65">
              <controlPr defaultSize="0" autoFill="0" autoLine="0" autoPict="0">
                <anchor moveWithCells="1">
                  <from>
                    <xdr:col>12</xdr:col>
                    <xdr:colOff>0</xdr:colOff>
                    <xdr:row>54</xdr:row>
                    <xdr:rowOff>53340</xdr:rowOff>
                  </from>
                  <to>
                    <xdr:col>13</xdr:col>
                    <xdr:colOff>495300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0" r:id="rId69" name="Check Box 66">
              <controlPr defaultSize="0" autoFill="0" autoLine="0" autoPict="0">
                <anchor moveWithCells="1">
                  <from>
                    <xdr:col>13</xdr:col>
                    <xdr:colOff>327660</xdr:colOff>
                    <xdr:row>54</xdr:row>
                    <xdr:rowOff>53340</xdr:rowOff>
                  </from>
                  <to>
                    <xdr:col>14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1" r:id="rId70" name="Check Box 67">
              <controlPr defaultSize="0" autoFill="0" autoLine="0" autoPict="0">
                <anchor moveWithCells="1">
                  <from>
                    <xdr:col>12</xdr:col>
                    <xdr:colOff>0</xdr:colOff>
                    <xdr:row>56</xdr:row>
                    <xdr:rowOff>53340</xdr:rowOff>
                  </from>
                  <to>
                    <xdr:col>13</xdr:col>
                    <xdr:colOff>495300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2" r:id="rId71" name="Check Box 68">
              <controlPr defaultSize="0" autoFill="0" autoLine="0" autoPict="0">
                <anchor moveWithCells="1">
                  <from>
                    <xdr:col>13</xdr:col>
                    <xdr:colOff>327660</xdr:colOff>
                    <xdr:row>56</xdr:row>
                    <xdr:rowOff>53340</xdr:rowOff>
                  </from>
                  <to>
                    <xdr:col>14</xdr:col>
                    <xdr:colOff>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3" r:id="rId72" name="Check Box 69">
              <controlPr defaultSize="0" autoFill="0" autoLine="0" autoPict="0">
                <anchor moveWithCells="1">
                  <from>
                    <xdr:col>12</xdr:col>
                    <xdr:colOff>0</xdr:colOff>
                    <xdr:row>59</xdr:row>
                    <xdr:rowOff>53340</xdr:rowOff>
                  </from>
                  <to>
                    <xdr:col>13</xdr:col>
                    <xdr:colOff>495300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4" r:id="rId73" name="Check Box 70">
              <controlPr defaultSize="0" autoFill="0" autoLine="0" autoPict="0">
                <anchor moveWithCells="1">
                  <from>
                    <xdr:col>13</xdr:col>
                    <xdr:colOff>327660</xdr:colOff>
                    <xdr:row>59</xdr:row>
                    <xdr:rowOff>53340</xdr:rowOff>
                  </from>
                  <to>
                    <xdr:col>14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5" r:id="rId74" name="Check Box 71">
              <controlPr defaultSize="0" autoFill="0" autoLine="0" autoPict="0">
                <anchor moveWithCells="1">
                  <from>
                    <xdr:col>12</xdr:col>
                    <xdr:colOff>0</xdr:colOff>
                    <xdr:row>62</xdr:row>
                    <xdr:rowOff>53340</xdr:rowOff>
                  </from>
                  <to>
                    <xdr:col>13</xdr:col>
                    <xdr:colOff>495300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6" r:id="rId75" name="Check Box 72">
              <controlPr defaultSize="0" autoFill="0" autoLine="0" autoPict="0">
                <anchor moveWithCells="1">
                  <from>
                    <xdr:col>13</xdr:col>
                    <xdr:colOff>327660</xdr:colOff>
                    <xdr:row>62</xdr:row>
                    <xdr:rowOff>53340</xdr:rowOff>
                  </from>
                  <to>
                    <xdr:col>14</xdr:col>
                    <xdr:colOff>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7" r:id="rId76" name="Caixa de seleção 112">
              <controlPr defaultSize="0" autoFill="0" autoLine="0" autoPict="0">
                <anchor moveWithCells="1">
                  <from>
                    <xdr:col>6</xdr:col>
                    <xdr:colOff>22860</xdr:colOff>
                    <xdr:row>184</xdr:row>
                    <xdr:rowOff>182880</xdr:rowOff>
                  </from>
                  <to>
                    <xdr:col>7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8" r:id="rId77" name="Caixa de seleção 112">
              <controlPr defaultSize="0" autoFill="0" autoLine="0" autoPict="0">
                <anchor moveWithCells="1">
                  <from>
                    <xdr:col>8</xdr:col>
                    <xdr:colOff>137160</xdr:colOff>
                    <xdr:row>190</xdr:row>
                    <xdr:rowOff>0</xdr:rowOff>
                  </from>
                  <to>
                    <xdr:col>9</xdr:col>
                    <xdr:colOff>685800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9" r:id="rId78" name="Caixa de seleção 68">
              <controlPr defaultSize="0" autoFill="0" autoLine="0" autoPict="0">
                <anchor moveWithCells="1">
                  <from>
                    <xdr:col>4</xdr:col>
                    <xdr:colOff>137160</xdr:colOff>
                    <xdr:row>199</xdr:row>
                    <xdr:rowOff>7620</xdr:rowOff>
                  </from>
                  <to>
                    <xdr:col>5</xdr:col>
                    <xdr:colOff>708660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0" r:id="rId79" name="Caixa de seleção 82">
              <controlPr defaultSize="0" autoFill="0" autoLine="0" autoPict="0">
                <anchor moveWithCells="1">
                  <from>
                    <xdr:col>5</xdr:col>
                    <xdr:colOff>845820</xdr:colOff>
                    <xdr:row>211</xdr:row>
                    <xdr:rowOff>0</xdr:rowOff>
                  </from>
                  <to>
                    <xdr:col>7</xdr:col>
                    <xdr:colOff>403860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1" r:id="rId80" name="Caixa de seleção 99">
              <controlPr defaultSize="0" autoFill="0" autoLine="0" autoPict="0">
                <anchor moveWithCells="1">
                  <from>
                    <xdr:col>8</xdr:col>
                    <xdr:colOff>137160</xdr:colOff>
                    <xdr:row>192</xdr:row>
                    <xdr:rowOff>175260</xdr:rowOff>
                  </from>
                  <to>
                    <xdr:col>10</xdr:col>
                    <xdr:colOff>38100</xdr:colOff>
                    <xdr:row>194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2" r:id="rId81" name="Caixa de seleção 100">
              <controlPr defaultSize="0" autoFill="0" autoLine="0" autoPict="0">
                <anchor moveWithCells="1">
                  <from>
                    <xdr:col>10</xdr:col>
                    <xdr:colOff>137160</xdr:colOff>
                    <xdr:row>192</xdr:row>
                    <xdr:rowOff>175260</xdr:rowOff>
                  </from>
                  <to>
                    <xdr:col>12</xdr:col>
                    <xdr:colOff>144780</xdr:colOff>
                    <xdr:row>194</xdr:row>
                    <xdr:rowOff>68580</xdr:rowOff>
                  </to>
                </anchor>
              </controlPr>
            </control>
          </mc:Choice>
        </mc:AlternateContent>
      </controls>
    </mc:Choice>
  </mc:AlternateContent>
  <tableParts count="3">
    <tablePart r:id="rId82"/>
    <tablePart r:id="rId83"/>
    <tablePart r:id="rId8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7CCC5-C415-46E2-8EC0-7459E5C23D63}">
  <sheetPr>
    <pageSetUpPr fitToPage="1"/>
  </sheetPr>
  <dimension ref="A1:EW328"/>
  <sheetViews>
    <sheetView showGridLines="0" showRowColHeaders="0" zoomScale="80" zoomScaleNormal="80" zoomScaleSheetLayoutView="73" workbookViewId="0">
      <selection activeCell="D9" sqref="D9:H9"/>
    </sheetView>
  </sheetViews>
  <sheetFormatPr defaultColWidth="0" defaultRowHeight="14.45" customHeight="1" zeroHeight="1" x14ac:dyDescent="0.2"/>
  <cols>
    <col min="1" max="1" width="5.24609375" customWidth="1"/>
    <col min="2" max="2" width="1.61328125" customWidth="1"/>
    <col min="3" max="3" width="1.4765625" customWidth="1"/>
    <col min="4" max="4" width="14.66015625" customWidth="1"/>
    <col min="5" max="5" width="2.6875" customWidth="1"/>
    <col min="6" max="6" width="14.66015625" customWidth="1"/>
    <col min="7" max="7" width="2.6875" customWidth="1"/>
    <col min="8" max="8" width="16.0078125" bestFit="1" customWidth="1"/>
    <col min="9" max="9" width="2.6875" customWidth="1"/>
    <col min="10" max="10" width="16.94921875" customWidth="1"/>
    <col min="11" max="11" width="2.6875" customWidth="1"/>
    <col min="12" max="12" width="14.66015625" customWidth="1"/>
    <col min="13" max="13" width="2.6875" customWidth="1"/>
    <col min="14" max="14" width="14.66015625" customWidth="1"/>
    <col min="15" max="15" width="2.6875" customWidth="1"/>
    <col min="16" max="16" width="1.34375" customWidth="1"/>
    <col min="17" max="17" width="1.61328125" customWidth="1"/>
    <col min="18" max="18" width="9.14453125" hidden="1" customWidth="1"/>
    <col min="19" max="19" width="18.16015625" hidden="1" customWidth="1"/>
    <col min="20" max="20" width="12.375" hidden="1" customWidth="1"/>
    <col min="21" max="21" width="9.14453125" hidden="1" customWidth="1"/>
    <col min="22" max="22" width="20.984375" hidden="1" customWidth="1"/>
    <col min="23" max="25" width="9.14453125" hidden="1" customWidth="1"/>
    <col min="26" max="26" width="10.4921875" hidden="1" customWidth="1"/>
    <col min="27" max="30" width="9.14453125" hidden="1" customWidth="1"/>
    <col min="31" max="31" width="9.14453125" style="79" hidden="1" customWidth="1"/>
    <col min="32" max="74" width="9.14453125" hidden="1" customWidth="1"/>
    <col min="75" max="75" width="9.14453125" style="79" hidden="1" customWidth="1"/>
    <col min="76" max="79" width="9.14453125" hidden="1" customWidth="1"/>
    <col min="80" max="80" width="16.8125" hidden="1" customWidth="1"/>
    <col min="81" max="83" width="9.14453125" hidden="1" customWidth="1"/>
    <col min="84" max="84" width="19.37109375" hidden="1" customWidth="1"/>
    <col min="85" max="90" width="9.14453125" hidden="1" customWidth="1"/>
    <col min="91" max="91" width="10.4921875" hidden="1" customWidth="1"/>
    <col min="92" max="92" width="9.14453125" hidden="1" customWidth="1"/>
    <col min="93" max="93" width="10.625" hidden="1" customWidth="1"/>
    <col min="94" max="120" width="9.14453125" hidden="1" customWidth="1"/>
    <col min="121" max="121" width="9.14453125" style="79" hidden="1" customWidth="1"/>
    <col min="122" max="152" width="9.14453125" hidden="1" customWidth="1"/>
    <col min="153" max="153" width="9.14453125" style="79" hidden="1" customWidth="1"/>
    <col min="154" max="16384" width="9.14453125" hidden="1"/>
  </cols>
  <sheetData>
    <row r="1" spans="2:146" ht="15" customHeight="1" x14ac:dyDescent="0.2"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L1" t="s">
        <v>96</v>
      </c>
    </row>
    <row r="2" spans="2:146" ht="15" customHeight="1" x14ac:dyDescent="0.2"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AF2" s="10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L2" t="s">
        <v>97</v>
      </c>
    </row>
    <row r="3" spans="2:146" ht="15" customHeight="1" x14ac:dyDescent="0.2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DS3" s="162"/>
      <c r="DT3" s="162"/>
      <c r="DU3" s="162"/>
      <c r="DV3" s="162"/>
      <c r="DW3" s="162"/>
      <c r="DY3" s="162"/>
      <c r="DZ3" s="162"/>
      <c r="EA3" s="162"/>
      <c r="EB3" s="162"/>
      <c r="EC3" s="162"/>
      <c r="ED3" s="162"/>
      <c r="EE3" s="162"/>
      <c r="EJ3" t="s">
        <v>95</v>
      </c>
    </row>
    <row r="4" spans="2:146" ht="15" customHeight="1" x14ac:dyDescent="0.2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7"/>
      <c r="Q4" s="22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J4" s="4">
        <f>IF(DZ9="feminino",0,1)</f>
        <v>1</v>
      </c>
    </row>
    <row r="5" spans="2:146" ht="15" customHeight="1" x14ac:dyDescent="0.2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7"/>
      <c r="Q5" s="22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J5" s="4"/>
    </row>
    <row r="6" spans="2:146" ht="15" customHeight="1" thickBot="1" x14ac:dyDescent="0.25">
      <c r="B6" s="227"/>
      <c r="C6" s="228"/>
      <c r="D6" s="228"/>
      <c r="E6" s="228"/>
      <c r="F6" s="228"/>
      <c r="G6" s="228"/>
      <c r="H6" s="228"/>
      <c r="I6" s="228"/>
      <c r="J6" s="228"/>
      <c r="K6" s="456"/>
      <c r="L6" s="456"/>
      <c r="M6" s="456"/>
      <c r="N6" s="229"/>
      <c r="O6" s="228"/>
      <c r="P6" s="227"/>
      <c r="Q6" s="227"/>
      <c r="AG6" s="46"/>
      <c r="AH6" s="46"/>
      <c r="AI6" s="46"/>
      <c r="AJ6" s="46"/>
      <c r="AK6" s="46"/>
      <c r="AL6" s="129"/>
      <c r="AM6" s="129"/>
      <c r="AN6" s="129"/>
      <c r="AO6" s="46"/>
      <c r="AP6" s="46"/>
      <c r="AQ6" s="46"/>
      <c r="AR6" s="46"/>
      <c r="AS6" s="46"/>
      <c r="BC6" s="314" t="s">
        <v>133</v>
      </c>
      <c r="BD6" s="314" t="s">
        <v>132</v>
      </c>
      <c r="BE6" s="314" t="s">
        <v>134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M6" s="314"/>
      <c r="CN6" s="314"/>
      <c r="CO6" s="314"/>
      <c r="DO6" s="42" t="s">
        <v>138</v>
      </c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G6" t="e">
        <f>DV11*DV26</f>
        <v>#VALUE!</v>
      </c>
    </row>
    <row r="7" spans="2:146" ht="15" customHeight="1" x14ac:dyDescent="0.2">
      <c r="B7" s="227"/>
      <c r="C7" s="374" t="s">
        <v>201</v>
      </c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227"/>
      <c r="BC7" s="314" t="str">
        <f>AX14</f>
        <v>-</v>
      </c>
      <c r="BD7" s="314">
        <f>AV15</f>
        <v>1</v>
      </c>
      <c r="BE7" s="32" t="str">
        <f>AZ13</f>
        <v>-</v>
      </c>
      <c r="CM7" s="314"/>
      <c r="CN7" s="314"/>
      <c r="CO7" s="32"/>
      <c r="DM7" s="42" t="s">
        <v>133</v>
      </c>
      <c r="DO7" s="42">
        <f>CB31</f>
        <v>-11.2</v>
      </c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I7" s="17" t="s">
        <v>46</v>
      </c>
    </row>
    <row r="8" spans="2:146" ht="15" x14ac:dyDescent="0.2">
      <c r="B8" s="227"/>
      <c r="C8" s="238"/>
      <c r="D8" s="276" t="s">
        <v>0</v>
      </c>
      <c r="E8" s="276"/>
      <c r="F8" s="276"/>
      <c r="G8" s="276"/>
      <c r="H8" s="276"/>
      <c r="I8" s="276"/>
      <c r="J8" s="276" t="s">
        <v>1</v>
      </c>
      <c r="K8" s="276"/>
      <c r="L8" s="276" t="s">
        <v>3</v>
      </c>
      <c r="M8" s="276"/>
      <c r="N8" s="276" t="s">
        <v>2</v>
      </c>
      <c r="O8" s="276"/>
      <c r="P8" s="277"/>
      <c r="Q8" s="227"/>
      <c r="BC8" s="314" t="str">
        <f t="shared" ref="BC8:BE10" si="0">BC7</f>
        <v>-</v>
      </c>
      <c r="BD8" s="314">
        <f t="shared" si="0"/>
        <v>1</v>
      </c>
      <c r="BE8" s="32" t="str">
        <f t="shared" si="0"/>
        <v>-</v>
      </c>
      <c r="CM8" s="32" t="e">
        <f>CF31</f>
        <v>#VALUE!</v>
      </c>
      <c r="CN8" s="314"/>
      <c r="CO8" s="32" t="e">
        <f>CF31</f>
        <v>#VALUE!</v>
      </c>
      <c r="DK8" s="42" t="s">
        <v>132</v>
      </c>
      <c r="DM8" s="42" t="str">
        <f>DB14</f>
        <v>-</v>
      </c>
      <c r="ED8" s="498">
        <f ca="1">TODAY()</f>
        <v>44149</v>
      </c>
      <c r="EE8" s="498"/>
      <c r="EI8" s="27" t="s">
        <v>38</v>
      </c>
    </row>
    <row r="9" spans="2:146" ht="15" x14ac:dyDescent="0.2">
      <c r="B9" s="227"/>
      <c r="C9" s="240"/>
      <c r="D9" s="494"/>
      <c r="E9" s="495"/>
      <c r="F9" s="495"/>
      <c r="G9" s="495"/>
      <c r="H9" s="496"/>
      <c r="I9" s="221"/>
      <c r="J9" s="222"/>
      <c r="K9" s="221"/>
      <c r="L9" s="223"/>
      <c r="M9" s="221"/>
      <c r="N9" s="230" t="str">
        <f>'Avaliação Física 6'!DV9</f>
        <v>-</v>
      </c>
      <c r="O9" s="221"/>
      <c r="P9" s="278"/>
      <c r="Q9" s="227"/>
      <c r="S9" s="106"/>
      <c r="T9" s="106"/>
      <c r="U9" s="106"/>
      <c r="V9" s="106"/>
      <c r="AH9" s="126" t="s">
        <v>49</v>
      </c>
      <c r="AI9" s="126"/>
      <c r="AJ9" s="31">
        <f>'Avaliação Física 6'!F85</f>
        <v>0</v>
      </c>
      <c r="AN9" s="126" t="s">
        <v>119</v>
      </c>
      <c r="AO9" s="126"/>
      <c r="AP9" s="10">
        <f>'Avaliação Física 6'!DV11</f>
        <v>0</v>
      </c>
      <c r="BC9" s="314" t="str">
        <f t="shared" si="0"/>
        <v>-</v>
      </c>
      <c r="BD9" s="314">
        <f t="shared" si="0"/>
        <v>1</v>
      </c>
      <c r="BE9" s="32" t="str">
        <f t="shared" si="0"/>
        <v>-</v>
      </c>
      <c r="BZ9" s="126" t="s">
        <v>41</v>
      </c>
      <c r="CA9" s="126"/>
      <c r="CB9" s="144">
        <f>'Avaliação Física 6'!L9</f>
        <v>0</v>
      </c>
      <c r="CC9" s="145"/>
      <c r="CD9" s="126" t="s">
        <v>148</v>
      </c>
      <c r="CE9" s="126"/>
      <c r="CF9" s="144" t="str">
        <f>'Avaliação Física 6'!DV9</f>
        <v>-</v>
      </c>
      <c r="CG9" s="145"/>
      <c r="CM9" s="314"/>
      <c r="CN9" s="314"/>
      <c r="CO9" s="32"/>
      <c r="DK9" s="42">
        <f>CZ15</f>
        <v>1</v>
      </c>
      <c r="DT9" s="426" t="s">
        <v>2</v>
      </c>
      <c r="DU9" s="426"/>
      <c r="DV9" s="8" t="str">
        <f>IF(J9="","-",INT((ED8-'Avaliação Física 6'!J9)/365.25))</f>
        <v>-</v>
      </c>
      <c r="DX9" s="426" t="s">
        <v>41</v>
      </c>
      <c r="DY9" s="426"/>
      <c r="DZ9" s="10">
        <f>'Avaliação Física 6'!L9</f>
        <v>0</v>
      </c>
      <c r="EI9" s="14" t="e">
        <f>1.112-(0.00043499*(DV23))+(0.00000055*(DV23*DV23))-(0.00028826*(DV9))</f>
        <v>#VALUE!</v>
      </c>
      <c r="EP9" t="s">
        <v>48</v>
      </c>
    </row>
    <row r="10" spans="2:146" ht="15" x14ac:dyDescent="0.2">
      <c r="B10" s="227"/>
      <c r="C10" s="240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301"/>
      <c r="O10" s="221"/>
      <c r="P10" s="278"/>
      <c r="Q10" s="227"/>
      <c r="S10" s="106"/>
      <c r="T10" s="106"/>
      <c r="U10" s="106"/>
      <c r="V10" s="106"/>
      <c r="AH10" s="126" t="s">
        <v>50</v>
      </c>
      <c r="AI10" s="126"/>
      <c r="AJ10" s="31">
        <f>'Avaliação Física 6'!F84</f>
        <v>0</v>
      </c>
      <c r="AN10" s="126" t="s">
        <v>61</v>
      </c>
      <c r="AO10" s="126"/>
      <c r="AP10" s="72">
        <f>'Avaliação Física 6'!DV12</f>
        <v>0</v>
      </c>
      <c r="BC10" s="314" t="str">
        <f t="shared" si="0"/>
        <v>-</v>
      </c>
      <c r="BD10" s="314">
        <f t="shared" si="0"/>
        <v>1</v>
      </c>
      <c r="BE10" s="32" t="str">
        <f t="shared" si="0"/>
        <v>-</v>
      </c>
      <c r="CF10" s="126"/>
      <c r="CG10" s="126"/>
      <c r="CM10" s="314"/>
      <c r="CN10" s="314"/>
      <c r="CO10" s="32"/>
      <c r="DT10" s="490" t="s">
        <v>15</v>
      </c>
      <c r="DU10" s="490"/>
      <c r="DV10" s="490"/>
      <c r="EB10" s="477" t="s">
        <v>36</v>
      </c>
      <c r="EC10" s="477"/>
      <c r="ED10" s="477"/>
      <c r="EI10" s="14"/>
    </row>
    <row r="11" spans="2:146" ht="15.75" thickBot="1" x14ac:dyDescent="0.25">
      <c r="B11" s="227"/>
      <c r="C11" s="240"/>
      <c r="D11" s="221" t="s">
        <v>4</v>
      </c>
      <c r="E11" s="221"/>
      <c r="F11" s="221"/>
      <c r="G11" s="221"/>
      <c r="H11" s="221"/>
      <c r="I11" s="221"/>
      <c r="J11" s="221" t="s">
        <v>5</v>
      </c>
      <c r="K11" s="221"/>
      <c r="L11" s="221"/>
      <c r="M11" s="221"/>
      <c r="N11" s="221" t="s">
        <v>6</v>
      </c>
      <c r="O11" s="221"/>
      <c r="P11" s="278"/>
      <c r="Q11" s="227"/>
      <c r="S11" s="107"/>
      <c r="T11" s="107" t="b">
        <v>0</v>
      </c>
      <c r="U11" s="107"/>
      <c r="V11" s="106"/>
      <c r="AH11" s="126" t="s">
        <v>59</v>
      </c>
      <c r="AI11" s="138"/>
      <c r="AJ11" s="31">
        <f>'Avaliação Física 6'!F86</f>
        <v>0</v>
      </c>
      <c r="BC11" s="47"/>
      <c r="BD11" s="48"/>
      <c r="BE11" s="48"/>
      <c r="BF11" s="48"/>
      <c r="BG11" s="48"/>
      <c r="BH11" s="48"/>
      <c r="BI11" s="48"/>
      <c r="BJ11" s="48"/>
      <c r="BK11" s="49"/>
      <c r="BN11" s="47"/>
      <c r="BO11" s="48"/>
      <c r="BP11" s="48"/>
      <c r="BQ11" s="48"/>
      <c r="BR11" s="48"/>
      <c r="BS11" s="48"/>
      <c r="BT11" s="48"/>
      <c r="BU11" s="49"/>
      <c r="BZ11" s="126"/>
      <c r="CA11" s="126"/>
      <c r="CM11" s="47"/>
      <c r="CN11" s="48"/>
      <c r="CO11" s="48"/>
      <c r="CP11" s="48"/>
      <c r="CQ11" s="48"/>
      <c r="CR11" s="48"/>
      <c r="CS11" s="48"/>
      <c r="CT11" s="49"/>
      <c r="CU11" s="49"/>
      <c r="CX11" s="47"/>
      <c r="CY11" s="48"/>
      <c r="CZ11" s="48"/>
      <c r="DA11" s="48"/>
      <c r="DB11" s="48"/>
      <c r="DC11" s="48"/>
      <c r="DD11" s="48"/>
      <c r="DE11" s="49"/>
      <c r="DH11" s="314"/>
      <c r="DJ11" s="314"/>
      <c r="DK11" s="314"/>
      <c r="DL11" s="314"/>
      <c r="DN11" s="121" t="s">
        <v>27</v>
      </c>
      <c r="DO11" s="121"/>
      <c r="DT11" s="426" t="s">
        <v>118</v>
      </c>
      <c r="DU11" s="426"/>
      <c r="DV11" s="31">
        <f>'Avaliação Física 6'!F72</f>
        <v>0</v>
      </c>
      <c r="DX11" s="426" t="s">
        <v>26</v>
      </c>
      <c r="DY11" s="426"/>
      <c r="DZ11" s="9" t="e">
        <f>IF(DV11="","-",SUM(DV11/(DV12*DV12)))</f>
        <v>#DIV/0!</v>
      </c>
      <c r="EB11" s="478" t="str">
        <f>IF(DV12&gt;0,VLOOKUP(DZ11,AUX_IMC_Classificação58111418[],2,TRUE),"(informe peso e altura)")</f>
        <v>(informe peso e altura)</v>
      </c>
      <c r="EC11" s="479"/>
      <c r="ED11" s="480"/>
      <c r="EI11" s="27" t="s">
        <v>39</v>
      </c>
    </row>
    <row r="12" spans="2:146" ht="15.75" thickBot="1" x14ac:dyDescent="0.25">
      <c r="B12" s="227"/>
      <c r="C12" s="240"/>
      <c r="D12" s="432"/>
      <c r="E12" s="433"/>
      <c r="F12" s="433"/>
      <c r="G12" s="433"/>
      <c r="H12" s="434"/>
      <c r="I12" s="221"/>
      <c r="J12" s="432"/>
      <c r="K12" s="433"/>
      <c r="L12" s="434"/>
      <c r="M12" s="221"/>
      <c r="N12" s="224"/>
      <c r="O12" s="221"/>
      <c r="P12" s="278"/>
      <c r="Q12" s="227"/>
      <c r="S12" s="107"/>
      <c r="T12" s="107" t="b">
        <v>0</v>
      </c>
      <c r="U12" s="107"/>
      <c r="V12" s="106"/>
      <c r="AH12" s="126" t="s">
        <v>51</v>
      </c>
      <c r="AI12" s="126"/>
      <c r="AJ12" s="31">
        <f>'Avaliação Física 6'!F87</f>
        <v>0</v>
      </c>
      <c r="AN12" s="126" t="s">
        <v>62</v>
      </c>
      <c r="AO12" s="126"/>
      <c r="AP12" s="44" t="str">
        <f>'Avaliação Física 6'!E91</f>
        <v>-</v>
      </c>
      <c r="AZ12" s="42" t="s">
        <v>62</v>
      </c>
      <c r="BC12" s="50"/>
      <c r="BJ12" s="51" t="s">
        <v>138</v>
      </c>
      <c r="BK12" s="52"/>
      <c r="BN12" s="50"/>
      <c r="BT12" s="42" t="s">
        <v>138</v>
      </c>
      <c r="BU12" s="52"/>
      <c r="BZ12" s="126" t="s">
        <v>149</v>
      </c>
      <c r="CA12" s="126"/>
      <c r="CB12" s="126"/>
      <c r="CC12" s="126"/>
      <c r="CD12" s="113">
        <f>'Avaliação Física 6'!L281</f>
        <v>0</v>
      </c>
      <c r="CF12" s="126" t="s">
        <v>150</v>
      </c>
      <c r="CG12" s="126"/>
      <c r="CH12" s="44" t="str">
        <f>IF(CD12="","-",DC18)</f>
        <v>-</v>
      </c>
      <c r="CI12" s="21"/>
      <c r="CM12" s="50"/>
      <c r="CS12" s="42" t="s">
        <v>138</v>
      </c>
      <c r="CT12" s="52"/>
      <c r="CU12" s="52"/>
      <c r="CX12" s="50"/>
      <c r="DD12" s="42" t="s">
        <v>138</v>
      </c>
      <c r="DE12" s="52"/>
      <c r="DH12" s="314"/>
      <c r="DJ12" s="314"/>
      <c r="DK12" s="314"/>
      <c r="DL12" s="314"/>
      <c r="DN12" s="121" t="str">
        <f>IF(AND(DK9=0,DM8&lt;=29),VLOOKUP(DO7,DH19:DI23,2,TRUE),IF(AND(DK9=0,DM8&lt;=39),VLOOKUP(DO7,DH26:DI30,2,TRUE),IF(AND(DK9=0,DM8&lt;=49),VLOOKUP(DO7,DH32:DI36,2,TRUE),IF(AND(DK9=0,DM8&lt;=59),VLOOKUP(DO7,DH38:DI42,2,TRUE),IF(AND(DK9=0,DM8&lt;=69),VLOOKUP(DO7,DH44:DI48,2,TRUE),IF(AND(DK9=1,DM8&lt;=29),VLOOKUP(DO7,DK19:DL23,2,TRUE),IF(AND(DK9=1,DM8&lt;=39),VLOOKUP(DO7,DK26:DL30,2,TRUE),IF(AND(DK9=1,DM8&lt;=49),VLOOKUP(DO7,DK32:DL36,2,TRUE),IF(AND(DK9=1,DM8&lt;=59),VLOOKUP(DO7,DK38:DL42,2,TRUE),IF(AND(DK9=1,DM8&lt;=69),VLOOKUP(DO7,DK44:DL48,2,TRUE),"-"))))))))))</f>
        <v>-</v>
      </c>
      <c r="DO12" s="121"/>
      <c r="DT12" s="426" t="s">
        <v>17</v>
      </c>
      <c r="DU12" s="426"/>
      <c r="DV12" s="45">
        <f>'Avaliação Física 6'!J72</f>
        <v>0</v>
      </c>
      <c r="EI12" s="15" t="e">
        <f>1.097-(0.00046971*(DV23))+(0.00000056*(DV23*DV23))-(0.00012828*(DV9))</f>
        <v>#VALUE!</v>
      </c>
      <c r="EL12" s="474" t="s">
        <v>45</v>
      </c>
      <c r="EM12" s="475"/>
      <c r="EN12" s="476"/>
    </row>
    <row r="13" spans="2:146" ht="15" x14ac:dyDescent="0.2">
      <c r="B13" s="227"/>
      <c r="C13" s="240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78"/>
      <c r="Q13" s="227"/>
      <c r="S13" s="107"/>
      <c r="T13" s="107" t="b">
        <v>0</v>
      </c>
      <c r="U13" s="107"/>
      <c r="V13" s="106"/>
      <c r="AH13" s="126" t="s">
        <v>52</v>
      </c>
      <c r="AI13" s="126"/>
      <c r="AJ13" s="31">
        <f>'Avaliação Física 6'!F88</f>
        <v>0</v>
      </c>
      <c r="AX13" s="42" t="s">
        <v>133</v>
      </c>
      <c r="AZ13" s="43" t="str">
        <f>AP12</f>
        <v>-</v>
      </c>
      <c r="BC13" s="50"/>
      <c r="BH13" s="42" t="s">
        <v>133</v>
      </c>
      <c r="BJ13" s="42"/>
      <c r="BK13" s="52"/>
      <c r="BN13" s="50"/>
      <c r="BR13" s="42" t="s">
        <v>133</v>
      </c>
      <c r="BT13" s="42">
        <v>11</v>
      </c>
      <c r="BU13" s="52"/>
      <c r="CM13" s="50"/>
      <c r="CQ13" s="42" t="s">
        <v>133</v>
      </c>
      <c r="CS13" s="42">
        <f>CD20</f>
        <v>0</v>
      </c>
      <c r="CT13" s="52"/>
      <c r="CU13" s="52"/>
      <c r="CX13" s="50"/>
      <c r="DB13" s="42" t="s">
        <v>133</v>
      </c>
      <c r="DD13" s="42">
        <f>CD12</f>
        <v>0</v>
      </c>
      <c r="DE13" s="52"/>
      <c r="EL13" s="20" t="s">
        <v>40</v>
      </c>
      <c r="EM13" s="21" t="e">
        <f>((4.95/EI9)-4.5)*100</f>
        <v>#VALUE!</v>
      </c>
      <c r="EN13" s="22"/>
    </row>
    <row r="14" spans="2:146" ht="15" x14ac:dyDescent="0.2">
      <c r="B14" s="227"/>
      <c r="C14" s="240"/>
      <c r="D14" s="221" t="s">
        <v>7</v>
      </c>
      <c r="E14" s="221"/>
      <c r="F14" s="221"/>
      <c r="G14" s="221"/>
      <c r="H14" s="221" t="s">
        <v>244</v>
      </c>
      <c r="I14" s="221"/>
      <c r="J14" s="221"/>
      <c r="K14" s="221"/>
      <c r="L14" s="221" t="s">
        <v>8</v>
      </c>
      <c r="M14" s="221"/>
      <c r="N14" s="306" t="s">
        <v>243</v>
      </c>
      <c r="O14" s="221"/>
      <c r="P14" s="278"/>
      <c r="Q14" s="227"/>
      <c r="S14" s="107"/>
      <c r="T14" s="107" t="b">
        <v>0</v>
      </c>
      <c r="U14" s="107"/>
      <c r="V14" s="106"/>
      <c r="AH14" s="310"/>
      <c r="AI14" s="310"/>
      <c r="AN14" s="126" t="s">
        <v>27</v>
      </c>
      <c r="AO14" s="126"/>
      <c r="AP14" s="130" t="str">
        <f>AY18</f>
        <v>-</v>
      </c>
      <c r="AQ14" s="130"/>
      <c r="AV14" s="42" t="s">
        <v>132</v>
      </c>
      <c r="AX14" s="42" t="str">
        <f>'Avaliação Física 6'!DV9</f>
        <v>-</v>
      </c>
      <c r="BC14" s="50"/>
      <c r="BF14" s="42" t="s">
        <v>132</v>
      </c>
      <c r="BH14" s="42" t="str">
        <f>AX14</f>
        <v>-</v>
      </c>
      <c r="BK14" s="52"/>
      <c r="BN14" s="50"/>
      <c r="BP14" s="42" t="s">
        <v>132</v>
      </c>
      <c r="BR14" s="42" t="str">
        <f>BH14</f>
        <v>-</v>
      </c>
      <c r="BU14" s="52"/>
      <c r="BZ14" s="310"/>
      <c r="CA14" s="310"/>
      <c r="CF14" s="126"/>
      <c r="CG14" s="126"/>
      <c r="CH14" s="126"/>
      <c r="CI14" s="126"/>
      <c r="CM14" s="50"/>
      <c r="CO14" s="42" t="s">
        <v>132</v>
      </c>
      <c r="CQ14" s="42" t="str">
        <f>CF9</f>
        <v>-</v>
      </c>
      <c r="CT14" s="52"/>
      <c r="CU14" s="52"/>
      <c r="CX14" s="50"/>
      <c r="CZ14" s="42" t="s">
        <v>132</v>
      </c>
      <c r="DB14" s="42" t="str">
        <f>CF9</f>
        <v>-</v>
      </c>
      <c r="DE14" s="52"/>
      <c r="DT14" s="490" t="s">
        <v>16</v>
      </c>
      <c r="DU14" s="490"/>
      <c r="DV14" s="490"/>
      <c r="EL14" s="23"/>
      <c r="EN14" s="22"/>
    </row>
    <row r="15" spans="2:146" ht="15" x14ac:dyDescent="0.2">
      <c r="B15" s="227"/>
      <c r="C15" s="240"/>
      <c r="D15" s="432"/>
      <c r="E15" s="433"/>
      <c r="F15" s="434"/>
      <c r="G15" s="221"/>
      <c r="H15" s="435"/>
      <c r="I15" s="433"/>
      <c r="J15" s="434"/>
      <c r="K15" s="221"/>
      <c r="L15" s="225"/>
      <c r="M15" s="220"/>
      <c r="N15" s="226"/>
      <c r="O15" s="221"/>
      <c r="P15" s="278"/>
      <c r="Q15" s="227"/>
      <c r="S15" s="107"/>
      <c r="T15" s="107" t="b">
        <v>0</v>
      </c>
      <c r="U15" s="107"/>
      <c r="V15" s="106"/>
      <c r="AH15" s="310"/>
      <c r="AI15" s="310"/>
      <c r="AJ15" s="314" t="s">
        <v>57</v>
      </c>
      <c r="AK15" s="314"/>
      <c r="AL15" s="314" t="s">
        <v>58</v>
      </c>
      <c r="AV15" s="42">
        <f>IF(L9="feminino",0,1)</f>
        <v>1</v>
      </c>
      <c r="BC15" s="50"/>
      <c r="BF15" s="42">
        <f>AV15</f>
        <v>1</v>
      </c>
      <c r="BK15" s="52"/>
      <c r="BN15" s="50"/>
      <c r="BP15" s="42">
        <f>BF15</f>
        <v>1</v>
      </c>
      <c r="BU15" s="52"/>
      <c r="CM15" s="50"/>
      <c r="CO15" s="42">
        <f>IF(CB9="feminino",0,1)</f>
        <v>1</v>
      </c>
      <c r="CT15" s="52"/>
      <c r="CU15" s="52"/>
      <c r="CX15" s="50"/>
      <c r="CZ15" s="42">
        <f>CO15</f>
        <v>1</v>
      </c>
      <c r="DE15" s="52"/>
      <c r="DT15" s="426" t="s">
        <v>18</v>
      </c>
      <c r="DU15" s="426"/>
      <c r="DV15" s="31">
        <f>'Avaliação Física 6'!F77</f>
        <v>0</v>
      </c>
      <c r="EL15" s="481" t="s">
        <v>44</v>
      </c>
      <c r="EM15" s="477"/>
      <c r="EN15" s="482"/>
    </row>
    <row r="16" spans="2:146" ht="15" x14ac:dyDescent="0.2">
      <c r="B16" s="227"/>
      <c r="C16" s="241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227"/>
      <c r="S16" s="107"/>
      <c r="T16" s="107" t="b">
        <v>0</v>
      </c>
      <c r="U16" s="107"/>
      <c r="V16" s="106"/>
      <c r="AH16" s="126" t="s">
        <v>53</v>
      </c>
      <c r="AI16" s="126"/>
      <c r="AJ16" s="31">
        <f>'Avaliação Física 6'!J84</f>
        <v>0</v>
      </c>
      <c r="AL16" s="31">
        <f>'Avaliação Física 6'!L84</f>
        <v>0</v>
      </c>
      <c r="AP16" s="314" t="s">
        <v>92</v>
      </c>
      <c r="AR16" s="314" t="s">
        <v>93</v>
      </c>
      <c r="BC16" s="133"/>
      <c r="BD16" s="126"/>
      <c r="BE16" s="314"/>
      <c r="BF16" s="314"/>
      <c r="BG16" s="314"/>
      <c r="BH16" s="314"/>
      <c r="BI16" s="126" t="s">
        <v>136</v>
      </c>
      <c r="BJ16" s="126"/>
      <c r="BK16" s="53"/>
      <c r="BL16" s="314"/>
      <c r="BM16" s="314"/>
      <c r="BN16" s="50"/>
      <c r="BS16" s="126" t="s">
        <v>137</v>
      </c>
      <c r="BT16" s="126"/>
      <c r="BU16" s="52"/>
      <c r="CM16" s="50"/>
      <c r="CR16" s="126" t="s">
        <v>136</v>
      </c>
      <c r="CS16" s="126"/>
      <c r="CT16" s="52"/>
      <c r="CU16" s="53"/>
      <c r="CV16" s="314"/>
      <c r="CW16" s="314"/>
      <c r="CX16" s="50"/>
      <c r="DC16" s="126" t="s">
        <v>137</v>
      </c>
      <c r="DD16" s="126"/>
      <c r="DE16" s="52"/>
      <c r="DT16" s="426" t="s">
        <v>19</v>
      </c>
      <c r="DU16" s="426"/>
      <c r="DV16" s="31">
        <f>'Avaliação Física 6'!F78</f>
        <v>0</v>
      </c>
      <c r="EH16" s="6" t="s">
        <v>26</v>
      </c>
      <c r="EI16" s="6" t="s">
        <v>27</v>
      </c>
      <c r="EL16" s="20" t="s">
        <v>40</v>
      </c>
      <c r="EM16" s="21" t="e">
        <f>((4.95/EI12)-4.5)*100</f>
        <v>#VALUE!</v>
      </c>
      <c r="EN16" s="22"/>
    </row>
    <row r="17" spans="2:144" ht="6" customHeight="1" thickBot="1" x14ac:dyDescent="0.25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S17" s="107"/>
      <c r="T17" s="107"/>
      <c r="U17" s="107"/>
      <c r="V17" s="106"/>
      <c r="AH17" s="126" t="s">
        <v>54</v>
      </c>
      <c r="AI17" s="126"/>
      <c r="AJ17" s="31">
        <f>'Avaliação Física 6'!J85</f>
        <v>0</v>
      </c>
      <c r="AL17" s="31">
        <f>'Avaliação Física 6'!L85</f>
        <v>0</v>
      </c>
      <c r="AN17" s="126" t="s">
        <v>12</v>
      </c>
      <c r="AO17" s="138"/>
      <c r="AP17" s="113"/>
      <c r="AR17" s="113"/>
      <c r="AU17" s="122" t="s">
        <v>37</v>
      </c>
      <c r="AV17" s="122"/>
      <c r="AY17" s="121" t="s">
        <v>27</v>
      </c>
      <c r="AZ17" s="121"/>
      <c r="BC17" s="134"/>
      <c r="BD17" s="85"/>
      <c r="BE17" s="122" t="s">
        <v>37</v>
      </c>
      <c r="BF17" s="122"/>
      <c r="BI17" s="121" t="s">
        <v>27</v>
      </c>
      <c r="BJ17" s="121"/>
      <c r="BK17" s="54"/>
      <c r="BL17" s="114"/>
      <c r="BM17" s="114"/>
      <c r="BN17" s="50"/>
      <c r="BO17" s="122" t="s">
        <v>37</v>
      </c>
      <c r="BP17" s="122"/>
      <c r="BS17" s="121" t="s">
        <v>27</v>
      </c>
      <c r="BT17" s="121"/>
      <c r="BU17" s="52"/>
      <c r="BZ17" s="126" t="s">
        <v>41</v>
      </c>
      <c r="CA17" s="126"/>
      <c r="CB17" s="144">
        <f>CB9</f>
        <v>0</v>
      </c>
      <c r="CC17" s="145"/>
      <c r="CD17" s="126" t="s">
        <v>148</v>
      </c>
      <c r="CE17" s="126"/>
      <c r="CF17" s="144" t="str">
        <f>CF9</f>
        <v>-</v>
      </c>
      <c r="CG17" s="145"/>
      <c r="CM17" s="50"/>
      <c r="CN17" s="122" t="s">
        <v>37</v>
      </c>
      <c r="CO17" s="122"/>
      <c r="CR17" s="121" t="s">
        <v>27</v>
      </c>
      <c r="CS17" s="121"/>
      <c r="CT17" s="52"/>
      <c r="CU17" s="54"/>
      <c r="CV17" s="114"/>
      <c r="CW17" s="114"/>
      <c r="CX17" s="50"/>
      <c r="CY17" s="122" t="s">
        <v>37</v>
      </c>
      <c r="CZ17" s="122"/>
      <c r="DC17" s="121" t="s">
        <v>27</v>
      </c>
      <c r="DD17" s="121"/>
      <c r="DE17" s="52"/>
      <c r="DH17" s="122" t="s">
        <v>37</v>
      </c>
      <c r="DI17" s="122"/>
      <c r="DK17" s="123" t="s">
        <v>135</v>
      </c>
      <c r="DL17" s="123"/>
      <c r="DT17" s="426" t="s">
        <v>20</v>
      </c>
      <c r="DU17" s="426"/>
      <c r="DV17" s="31">
        <f>'Avaliação Física 6'!J77</f>
        <v>0</v>
      </c>
      <c r="EH17" s="7">
        <v>0</v>
      </c>
      <c r="EI17" s="7" t="s">
        <v>28</v>
      </c>
      <c r="EL17" s="24"/>
      <c r="EM17" s="25"/>
      <c r="EN17" s="26"/>
    </row>
    <row r="18" spans="2:144" ht="15" x14ac:dyDescent="0.2">
      <c r="B18" s="227"/>
      <c r="C18" s="362" t="s">
        <v>202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227"/>
      <c r="S18" s="106"/>
      <c r="T18" s="106"/>
      <c r="U18" s="106"/>
      <c r="V18" s="106"/>
      <c r="AH18" s="126" t="s">
        <v>55</v>
      </c>
      <c r="AI18" s="126"/>
      <c r="AJ18" s="31">
        <f>'Avaliação Física 6'!J86</f>
        <v>0</v>
      </c>
      <c r="AL18" s="31">
        <f>'Avaliação Física 6'!L86</f>
        <v>0</v>
      </c>
      <c r="AU18" s="124" t="s">
        <v>64</v>
      </c>
      <c r="AV18" s="124"/>
      <c r="AY18" s="121" t="str">
        <f>IF(AND(AV15=0,AX14&lt;=29),VLOOKUP(AZ13,AU19:AV22,2,TRUE),IF(AND(AV15=0,AX14&lt;=39),VLOOKUP(AZ13,AU26:AV29,2,TRUE),IF(AND(AV15=0,AX14&lt;=49),VLOOKUP(AZ13,AU32:AV36,2,TRUE),IF(AND(AV15=0,AX14&lt;=59),VLOOKUP(AZ13,AU38:AV41,2,TRUE),IF(AND(AV15=0,AX14&lt;=69),VLOOKUP(AZ13,AU44:AV47,2,TRUE),IF(AND(AV15=1,AX14&lt;=29),VLOOKUP(AZ13,AX25:AY28,2,TRUE),IF(AND(AV15=1,AX14&lt;=39),VLOOKUP(AZ13,AX32:AY35,2,TRUE),IF(AND(AV15=1,AX14&lt;=49),VLOOKUP(AZ13,AX38:AY41,2,TRUE),IF(AND(AV15=1,AX14&lt;=59),VLOOKUP(AZ13,AX44:AY47,2,TRUE),IF(AND(AV15=1,AX14&lt;=69),VLOOKUP(AZ13,AX50:AY53,2,TRUE),"-"))))))))))</f>
        <v>-</v>
      </c>
      <c r="AZ18" s="121"/>
      <c r="BC18" s="134"/>
      <c r="BD18" s="85"/>
      <c r="BE18" s="124" t="s">
        <v>64</v>
      </c>
      <c r="BF18" s="124"/>
      <c r="BI18" s="121" t="str">
        <f>IF(AND(BF15=0,BH14&lt;=29),VLOOKUP(BJ13,BE19:BF22,2,TRUE),IF(AND(BF15=0,BH14&lt;=39),VLOOKUP(BJ13,BE26:BF27,2,TRUE),IF(AND(BF15=0,BH14&lt;=49),VLOOKUP(BJ13,#REF!,2,TRUE),IF(AND(BF15=0,BH14&lt;=59),VLOOKUP(BJ13,#REF!,2,TRUE),IF(AND(BF15=0,BH14&lt;=69),VLOOKUP(BJ13,BE28:BF31,2,TRUE),IF(AND(BF15=1,BH14&lt;=29),VLOOKUP(BJ13,BH25:BI27,2,TRUE),IF(AND(BF15=1,BH14&lt;=39),VLOOKUP(BJ13,#REF!,2,TRUE),IF(AND(BF15=1,BH14&lt;=49),VLOOKUP(BJ13,#REF!,2,TRUE),IF(AND(BF15=1,BH14&lt;=59),VLOOKUP(BJ13,BH28:BI31,2,TRUE),IF(AND(BF15=1,BH14&lt;=69),VLOOKUP(BJ13,BH34:BI40,2,TRUE),"-"))))))))))</f>
        <v>-</v>
      </c>
      <c r="BJ18" s="121"/>
      <c r="BK18" s="54"/>
      <c r="BL18" s="114"/>
      <c r="BM18" s="114"/>
      <c r="BN18" s="50"/>
      <c r="BO18" s="124" t="s">
        <v>139</v>
      </c>
      <c r="BP18" s="124"/>
      <c r="BS18" s="121" t="str">
        <f>IF(AND(BP15=0,BR14&lt;=19),VLOOKUP(BT13,BO19:BP23,2,TRUE),IF(AND(BP15=0,BR14&lt;=29),VLOOKUP(BT13,BO26:BP27,2,TRUE),IF(AND(BP15=0,BR14&lt;=39),VLOOKUP(BT13,#REF!,2,TRUE),IF(AND(BP15=0,BR14&lt;=49),VLOOKUP(BT13,#REF!,2,TRUE),IF(AND(BP15=0,BR14&lt;=59),VLOOKUP(BT13,BO28:BP31,2,TRUE),IF(AND(BP15=0,BR14&lt;=69),VLOOKUP(BT13,BO38:BP42,2,TRUE),IF(AND(BP15=1,BR14&lt;=19),VLOOKUP(BT13,BR25:BS27,2,TRUE),IF(AND(BP15=1,BR14&lt;=29),VLOOKUP(BT13,#REF!,2,TRUE),IF(AND(BP15=1,BR14&lt;=39),VLOOKUP(BT13,#REF!,2,TRUE),IF(AND(BP15=1,BR14&lt;=49),VLOOKUP(BT13,BR28:BS31,2,TRUE),IF(AND(BP15=1,BR14&lt;=59),VLOOKUP(BT13,BR34:BS40,2,TRUE),IF(AND(BP15=1,BR14&lt;=69),VLOOKUP(BT13,BR44:BS48,2,TRUE),"-"))))))))))))</f>
        <v>-</v>
      </c>
      <c r="BT18" s="121"/>
      <c r="BU18" s="52"/>
      <c r="CF18" s="126"/>
      <c r="CG18" s="126"/>
      <c r="CM18" s="50"/>
      <c r="CN18" s="124" t="s">
        <v>139</v>
      </c>
      <c r="CO18" s="124"/>
      <c r="CR18" s="121" t="str">
        <f>IF(AND(CO15=0,CQ14&lt;=19),VLOOKUP(CS13,CN19:CO23,2,TRUE),IF(AND(CO15=0,CQ14&lt;=29),VLOOKUP(CS13,CN26:CO30,2,TRUE),IF(AND(CO15=0,CQ14&lt;=39),VLOOKUP(CS13,CN32:CO36,2,TRUE),IF(AND(CO15=0,CQ14&lt;=49),VLOOKUP(CS13,CN38:CO42,2,TRUE),IF(AND(CO15=0,CQ14&lt;=59),VLOOKUP(CS13,CN44:CO48,2,TRUE),IF(AND(CO15=0,CQ14&lt;=69),VLOOKUP(CS13,CN51:CO55,2,TRUE),IF(AND(CO15=1,CQ14&lt;=19),VLOOKUP(CS13,CQ25:CR29,2,TRUE),IF(AND(CO15=1,CQ14&lt;=29),VLOOKUP(CS13,CQ32:CR36,2,TRUE),IF(AND(CO15=1,CQ14&lt;=39),VLOOKUP(CS13,CQ38:CR42,2,TRUE),IF(AND(CO15=1,CQ14&lt;=49),VLOOKUP(CS13,CQ44:CR48,2,TRUE),IF(AND(CO15=1,CQ14&lt;=59),VLOOKUP(CS13,CQ50:CR54,2,TRUE),IF(AND(CO15=1,CQ14&lt;=69),VLOOKUP(CS13,CQ57:CR61,2,TRUE),"-"))))))))))))</f>
        <v>-</v>
      </c>
      <c r="CS18" s="121"/>
      <c r="CT18" s="52"/>
      <c r="CU18" s="54"/>
      <c r="CV18" s="114"/>
      <c r="CW18" s="114"/>
      <c r="CX18" s="50"/>
      <c r="CY18" s="124" t="s">
        <v>139</v>
      </c>
      <c r="CZ18" s="124"/>
      <c r="DC18" s="121" t="str">
        <f>IF(AND(CZ15=0,DB14&lt;=19),VLOOKUP(DD13,CY19:CZ23,2,TRUE),IF(AND(CZ15=0,DB14&lt;=29),VLOOKUP(DD13,CY26:CZ30,2,TRUE),IF(AND(CZ15=0,DB14&lt;=39),VLOOKUP(DD13,CY32:CZ36,2,TRUE),IF(AND(CZ15=0,DB14&lt;=49),VLOOKUP(DD13,CY38:CZ42,2,TRUE),IF(AND(CZ15=0,DB14&lt;=59),VLOOKUP(DD13,CY44:CZ48,2,TRUE),IF(AND(CZ15=0,DB14&lt;=69),VLOOKUP(DD13,CY51:CZ55,2,TRUE),IF(AND(CZ15=1,DB14&lt;=19),VLOOKUP(DD13,DB25:DC28,2,TRUE),IF(AND(CZ15=1,DB14&lt;=29),VLOOKUP(DD13,DB32:DC36,2,TRUE),IF(AND(CZ15=1,DB14&lt;=39),VLOOKUP(DD13,DB38:DC42,2,TRUE),IF(AND(CZ15=1,DB14&lt;=49),VLOOKUP(DD13,DB44:DC48,2,TRUE),IF(AND(CZ15=1,DB14&lt;=59),VLOOKUP(DD13,DB50:DC54,2,TRUE),IF(AND(CZ15=1,DB14&lt;=69),VLOOKUP(DD13,DB57:DC61,2,TRUE),"-"))))))))))))</f>
        <v>-</v>
      </c>
      <c r="DD18" s="121"/>
      <c r="DE18" s="52"/>
      <c r="DH18" s="124" t="s">
        <v>195</v>
      </c>
      <c r="DI18" s="124"/>
      <c r="DK18" s="125" t="s">
        <v>195</v>
      </c>
      <c r="DL18" s="125"/>
      <c r="DT18" s="426" t="s">
        <v>21</v>
      </c>
      <c r="DU18" s="426"/>
      <c r="DV18" s="31">
        <f>'Avaliação Física 6'!J78</f>
        <v>0</v>
      </c>
      <c r="EH18" s="7">
        <v>16.100000000000001</v>
      </c>
      <c r="EI18" s="7" t="s">
        <v>29</v>
      </c>
    </row>
    <row r="19" spans="2:144" ht="15.75" thickBot="1" x14ac:dyDescent="0.25">
      <c r="B19" s="227"/>
      <c r="C19" s="238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76"/>
      <c r="P19" s="277"/>
      <c r="Q19" s="227"/>
      <c r="AH19" s="126" t="s">
        <v>56</v>
      </c>
      <c r="AI19" s="126"/>
      <c r="AJ19" s="31">
        <f>'Avaliação Física 6'!J87</f>
        <v>0</v>
      </c>
      <c r="AL19" s="31">
        <f>'Avaliação Física 6'!L87</f>
        <v>0</v>
      </c>
      <c r="AN19" s="126" t="s">
        <v>91</v>
      </c>
      <c r="AO19" s="138"/>
      <c r="AP19" s="31"/>
      <c r="AQ19" s="131" t="s">
        <v>94</v>
      </c>
      <c r="AR19" s="126"/>
      <c r="AU19" s="33">
        <v>0.01</v>
      </c>
      <c r="AV19" s="34" t="s">
        <v>126</v>
      </c>
      <c r="BC19" s="134"/>
      <c r="BD19" s="85"/>
      <c r="BE19" s="33">
        <v>0.01</v>
      </c>
      <c r="BF19" s="34" t="s">
        <v>126</v>
      </c>
      <c r="BK19" s="54"/>
      <c r="BL19" s="114"/>
      <c r="BM19" s="114"/>
      <c r="BN19" s="50"/>
      <c r="BO19" s="58">
        <v>1</v>
      </c>
      <c r="BP19" s="34" t="s">
        <v>144</v>
      </c>
      <c r="BU19" s="52"/>
      <c r="BZ19" s="126"/>
      <c r="CA19" s="126"/>
      <c r="CM19" s="50"/>
      <c r="CN19" s="67">
        <v>0</v>
      </c>
      <c r="CO19" s="34" t="s">
        <v>144</v>
      </c>
      <c r="CT19" s="52"/>
      <c r="CU19" s="54"/>
      <c r="CV19" s="114"/>
      <c r="CW19" s="114"/>
      <c r="CX19" s="50"/>
      <c r="CY19" s="67">
        <v>0</v>
      </c>
      <c r="CZ19" s="34" t="s">
        <v>144</v>
      </c>
      <c r="DE19" s="52"/>
      <c r="DH19" s="67">
        <v>0</v>
      </c>
      <c r="DI19" s="34" t="s">
        <v>196</v>
      </c>
      <c r="DK19" s="63">
        <v>0</v>
      </c>
      <c r="DL19" s="37" t="s">
        <v>196</v>
      </c>
      <c r="DT19" s="426" t="s">
        <v>43</v>
      </c>
      <c r="DU19" s="426"/>
      <c r="DV19" s="31">
        <f>'Avaliação Física 6'!J79</f>
        <v>0</v>
      </c>
      <c r="EH19" s="7">
        <v>17</v>
      </c>
      <c r="EI19" s="7" t="s">
        <v>30</v>
      </c>
    </row>
    <row r="20" spans="2:144" ht="15" x14ac:dyDescent="0.2">
      <c r="B20" s="227"/>
      <c r="C20" s="240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21"/>
      <c r="P20" s="278"/>
      <c r="Q20" s="227"/>
      <c r="AU20" s="34">
        <v>0.71</v>
      </c>
      <c r="AV20" s="34" t="s">
        <v>127</v>
      </c>
      <c r="BC20" s="134"/>
      <c r="BD20" s="85"/>
      <c r="BE20" s="34">
        <v>0.71</v>
      </c>
      <c r="BF20" s="34" t="s">
        <v>127</v>
      </c>
      <c r="BK20" s="54"/>
      <c r="BL20" s="114"/>
      <c r="BM20" s="114"/>
      <c r="BN20" s="50"/>
      <c r="BO20" s="58">
        <v>12</v>
      </c>
      <c r="BP20" s="34" t="s">
        <v>143</v>
      </c>
      <c r="BU20" s="52"/>
      <c r="BZ20" s="126" t="s">
        <v>149</v>
      </c>
      <c r="CA20" s="126"/>
      <c r="CB20" s="126"/>
      <c r="CC20" s="126"/>
      <c r="CD20" s="113">
        <f>'Avaliação Física 6'!L272</f>
        <v>0</v>
      </c>
      <c r="CF20" s="126" t="s">
        <v>150</v>
      </c>
      <c r="CG20" s="126"/>
      <c r="CH20" s="44" t="str">
        <f>IF(CD20="","-",CR18)</f>
        <v>-</v>
      </c>
      <c r="CI20" s="21"/>
      <c r="CM20" s="50"/>
      <c r="CN20" s="67">
        <v>27</v>
      </c>
      <c r="CO20" s="34" t="s">
        <v>143</v>
      </c>
      <c r="CT20" s="52"/>
      <c r="CU20" s="54"/>
      <c r="CV20" s="114"/>
      <c r="CW20" s="114"/>
      <c r="CX20" s="50"/>
      <c r="CY20" s="67">
        <v>12</v>
      </c>
      <c r="CZ20" s="34" t="s">
        <v>143</v>
      </c>
      <c r="DE20" s="52"/>
      <c r="DH20" s="67">
        <v>24</v>
      </c>
      <c r="DI20" s="34" t="s">
        <v>144</v>
      </c>
      <c r="DK20" s="63">
        <v>25</v>
      </c>
      <c r="DL20" s="37" t="s">
        <v>144</v>
      </c>
      <c r="DT20" s="426" t="s">
        <v>22</v>
      </c>
      <c r="DU20" s="426"/>
      <c r="DV20" s="31">
        <f>'Avaliação Física 6'!N77</f>
        <v>0</v>
      </c>
      <c r="EH20" s="7">
        <v>18.5</v>
      </c>
      <c r="EI20" s="7" t="s">
        <v>31</v>
      </c>
      <c r="EL20" s="17" t="s">
        <v>42</v>
      </c>
    </row>
    <row r="21" spans="2:144" ht="6" customHeight="1" thickBot="1" x14ac:dyDescent="0.25">
      <c r="B21" s="227"/>
      <c r="C21" s="241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79"/>
      <c r="P21" s="280"/>
      <c r="Q21" s="227"/>
      <c r="AH21" s="135" t="s">
        <v>60</v>
      </c>
      <c r="AI21" s="135"/>
      <c r="AJ21" s="135"/>
      <c r="AK21" s="135"/>
      <c r="AL21" s="135"/>
      <c r="AU21" s="34">
        <v>0.78</v>
      </c>
      <c r="AV21" s="34" t="s">
        <v>128</v>
      </c>
      <c r="BC21" s="134"/>
      <c r="BD21" s="85"/>
      <c r="BE21" s="34">
        <v>0.78</v>
      </c>
      <c r="BF21" s="34" t="s">
        <v>128</v>
      </c>
      <c r="BK21" s="54"/>
      <c r="BL21" s="114"/>
      <c r="BM21" s="114"/>
      <c r="BN21" s="50"/>
      <c r="BO21" s="58">
        <v>18</v>
      </c>
      <c r="BP21" s="34" t="s">
        <v>142</v>
      </c>
      <c r="BU21" s="52"/>
      <c r="CM21" s="50"/>
      <c r="CN21" s="67">
        <v>32</v>
      </c>
      <c r="CO21" s="34" t="s">
        <v>142</v>
      </c>
      <c r="CT21" s="52"/>
      <c r="CU21" s="54"/>
      <c r="CV21" s="114"/>
      <c r="CW21" s="114"/>
      <c r="CX21" s="50"/>
      <c r="CY21" s="67">
        <v>18</v>
      </c>
      <c r="CZ21" s="34" t="s">
        <v>142</v>
      </c>
      <c r="DE21" s="52"/>
      <c r="DH21" s="67">
        <v>31</v>
      </c>
      <c r="DI21" s="34" t="s">
        <v>143</v>
      </c>
      <c r="DK21" s="63">
        <v>34</v>
      </c>
      <c r="DL21" s="37" t="s">
        <v>143</v>
      </c>
      <c r="DT21" s="426" t="s">
        <v>23</v>
      </c>
      <c r="DU21" s="426"/>
      <c r="DV21" s="31">
        <f>'Avaliação Física 6'!N78</f>
        <v>0</v>
      </c>
      <c r="EH21" s="7">
        <v>24.5</v>
      </c>
      <c r="EI21" s="7" t="s">
        <v>32</v>
      </c>
      <c r="EL21" s="18" t="e">
        <f>IF(EJ4=0,SUM(1.097-(0.00046971*(DV23))+(0.00000056*(DV23*DV23))-(0.00012828*(DV9))),SUM(1.112-(0.00043499*(DV23))+(0.00000055*(DV23*DV23))-(0.00028826*(DV9))))</f>
        <v>#VALUE!</v>
      </c>
    </row>
    <row r="22" spans="2:144" ht="5.45" customHeight="1" x14ac:dyDescent="0.2">
      <c r="B22" s="227"/>
      <c r="Q22" s="227"/>
      <c r="AH22" s="314"/>
      <c r="AI22" s="314"/>
      <c r="AJ22" s="314" t="s">
        <v>57</v>
      </c>
      <c r="AK22" s="314"/>
      <c r="AL22" s="314" t="s">
        <v>58</v>
      </c>
      <c r="AU22" s="34">
        <v>0.83</v>
      </c>
      <c r="AV22" s="34" t="s">
        <v>129</v>
      </c>
      <c r="BC22" s="50"/>
      <c r="BE22" s="34">
        <v>0.83</v>
      </c>
      <c r="BF22" s="34" t="s">
        <v>129</v>
      </c>
      <c r="BK22" s="54"/>
      <c r="BL22" s="114"/>
      <c r="BM22" s="114"/>
      <c r="BN22" s="50"/>
      <c r="BO22" s="58">
        <v>25</v>
      </c>
      <c r="BP22" s="34" t="s">
        <v>140</v>
      </c>
      <c r="BU22" s="52"/>
      <c r="BZ22" s="310"/>
      <c r="CA22" s="310"/>
      <c r="CF22" s="126"/>
      <c r="CG22" s="126"/>
      <c r="CH22" s="126"/>
      <c r="CI22" s="126"/>
      <c r="CM22" s="50"/>
      <c r="CN22" s="67">
        <v>36</v>
      </c>
      <c r="CO22" s="34" t="s">
        <v>140</v>
      </c>
      <c r="CT22" s="52"/>
      <c r="CU22" s="54"/>
      <c r="CV22" s="114"/>
      <c r="CW22" s="114"/>
      <c r="CX22" s="50"/>
      <c r="CY22" s="67">
        <v>25</v>
      </c>
      <c r="CZ22" s="34" t="s">
        <v>140</v>
      </c>
      <c r="DE22" s="52"/>
      <c r="DH22" s="67">
        <v>38</v>
      </c>
      <c r="DI22" s="34" t="s">
        <v>140</v>
      </c>
      <c r="DK22" s="63">
        <v>45</v>
      </c>
      <c r="DL22" s="37" t="s">
        <v>140</v>
      </c>
      <c r="EH22" s="7">
        <v>30</v>
      </c>
      <c r="EI22" s="7" t="s">
        <v>33</v>
      </c>
    </row>
    <row r="23" spans="2:144" ht="15" customHeight="1" thickBot="1" x14ac:dyDescent="0.25">
      <c r="B23" s="227"/>
      <c r="C23" s="362" t="s">
        <v>225</v>
      </c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227"/>
      <c r="AH23" s="136" t="s">
        <v>224</v>
      </c>
      <c r="AI23" s="137"/>
      <c r="AJ23" s="31"/>
      <c r="AL23" s="31"/>
      <c r="AU23" s="35"/>
      <c r="AV23" s="35"/>
      <c r="AX23" s="123" t="s">
        <v>135</v>
      </c>
      <c r="AY23" s="123"/>
      <c r="AZ23" s="21"/>
      <c r="BC23" s="134"/>
      <c r="BD23" s="85"/>
      <c r="BE23" s="35"/>
      <c r="BF23" s="35"/>
      <c r="BH23" s="123" t="s">
        <v>135</v>
      </c>
      <c r="BI23" s="123"/>
      <c r="BJ23" s="21"/>
      <c r="BK23" s="54"/>
      <c r="BL23" s="114"/>
      <c r="BM23" s="114"/>
      <c r="BN23" s="50"/>
      <c r="BO23" s="35">
        <v>33</v>
      </c>
      <c r="BP23" s="35" t="s">
        <v>141</v>
      </c>
      <c r="BR23" s="123" t="s">
        <v>135</v>
      </c>
      <c r="BS23" s="123"/>
      <c r="BT23" s="21"/>
      <c r="BU23" s="52"/>
      <c r="CM23" s="50"/>
      <c r="CN23" s="66">
        <v>42</v>
      </c>
      <c r="CO23" s="35" t="s">
        <v>141</v>
      </c>
      <c r="CQ23" s="123" t="s">
        <v>135</v>
      </c>
      <c r="CR23" s="123"/>
      <c r="CS23" s="21"/>
      <c r="CT23" s="52"/>
      <c r="CU23" s="54"/>
      <c r="CV23" s="114"/>
      <c r="CW23" s="114"/>
      <c r="CX23" s="50"/>
      <c r="CY23" s="66">
        <v>33</v>
      </c>
      <c r="CZ23" s="35" t="s">
        <v>141</v>
      </c>
      <c r="DB23" s="123" t="s">
        <v>135</v>
      </c>
      <c r="DC23" s="123"/>
      <c r="DD23" s="21"/>
      <c r="DE23" s="52"/>
      <c r="DH23" s="66">
        <v>49</v>
      </c>
      <c r="DI23" s="35" t="s">
        <v>141</v>
      </c>
      <c r="DK23" s="64">
        <v>53</v>
      </c>
      <c r="DL23" s="38" t="s">
        <v>141</v>
      </c>
      <c r="DT23" s="426" t="s">
        <v>24</v>
      </c>
      <c r="DU23" s="426"/>
      <c r="DV23" s="8">
        <f>IF(DV15="","-",SUM(DV15:DV21))</f>
        <v>0</v>
      </c>
      <c r="EH23" s="7">
        <v>35</v>
      </c>
      <c r="EI23" s="7" t="s">
        <v>34</v>
      </c>
    </row>
    <row r="24" spans="2:144" ht="14.45" customHeight="1" x14ac:dyDescent="0.2">
      <c r="C24" s="23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  <c r="AH24" s="139"/>
      <c r="AI24" s="140"/>
      <c r="AJ24" s="31"/>
      <c r="AL24" s="31"/>
      <c r="AU24" s="35"/>
      <c r="AV24" s="35"/>
      <c r="AX24" s="125" t="s">
        <v>64</v>
      </c>
      <c r="AY24" s="125"/>
      <c r="BC24" s="134"/>
      <c r="BD24" s="85"/>
      <c r="BE24" s="35"/>
      <c r="BF24" s="35"/>
      <c r="BH24" s="125" t="s">
        <v>64</v>
      </c>
      <c r="BI24" s="125"/>
      <c r="BK24" s="54"/>
      <c r="BL24" s="114"/>
      <c r="BM24" s="114"/>
      <c r="BN24" s="50"/>
      <c r="BO24" s="35"/>
      <c r="BP24" s="35"/>
      <c r="BR24" s="125" t="s">
        <v>147</v>
      </c>
      <c r="BS24" s="125"/>
      <c r="BU24" s="52"/>
      <c r="CM24" s="50"/>
      <c r="CN24" s="35"/>
      <c r="CO24" s="35"/>
      <c r="CQ24" s="125" t="s">
        <v>147</v>
      </c>
      <c r="CR24" s="125"/>
      <c r="CT24" s="52"/>
      <c r="CU24" s="54"/>
      <c r="CV24" s="114"/>
      <c r="CW24" s="114"/>
      <c r="CX24" s="50"/>
      <c r="CY24" s="35"/>
      <c r="CZ24" s="35"/>
      <c r="DB24" s="125" t="s">
        <v>147</v>
      </c>
      <c r="DC24" s="125"/>
      <c r="DE24" s="52"/>
      <c r="DH24" s="35"/>
      <c r="DI24" s="35"/>
      <c r="DK24" s="38"/>
      <c r="DL24" s="38"/>
      <c r="EH24" s="7"/>
      <c r="EI24" s="7"/>
      <c r="EL24" s="13"/>
    </row>
    <row r="25" spans="2:144" ht="14.45" customHeight="1" x14ac:dyDescent="0.2">
      <c r="C25" s="240"/>
      <c r="D25" s="221" t="s">
        <v>247</v>
      </c>
      <c r="E25" s="221"/>
      <c r="F25" s="221"/>
      <c r="G25" s="221"/>
      <c r="H25" s="221"/>
      <c r="I25" s="221"/>
      <c r="J25" s="460"/>
      <c r="K25" s="460"/>
      <c r="L25" s="460"/>
      <c r="M25" s="460"/>
      <c r="N25" s="460"/>
      <c r="O25" s="221"/>
      <c r="P25" s="278"/>
      <c r="AH25" s="139"/>
      <c r="AI25" s="140"/>
      <c r="AJ25" s="31"/>
      <c r="AL25" s="31"/>
      <c r="AU25" s="124" t="s">
        <v>65</v>
      </c>
      <c r="AV25" s="124"/>
      <c r="AX25" s="40">
        <v>0.01</v>
      </c>
      <c r="AY25" s="37" t="s">
        <v>126</v>
      </c>
      <c r="BC25" s="134"/>
      <c r="BD25" s="85"/>
      <c r="BE25" s="124" t="s">
        <v>65</v>
      </c>
      <c r="BF25" s="124"/>
      <c r="BH25" s="40">
        <v>0.01</v>
      </c>
      <c r="BI25" s="37" t="s">
        <v>126</v>
      </c>
      <c r="BK25" s="54"/>
      <c r="BL25" s="114"/>
      <c r="BM25" s="114"/>
      <c r="BN25" s="50"/>
      <c r="BO25" s="124" t="s">
        <v>145</v>
      </c>
      <c r="BP25" s="124"/>
      <c r="BR25" s="63">
        <v>1</v>
      </c>
      <c r="BS25" s="37" t="s">
        <v>144</v>
      </c>
      <c r="BU25" s="52"/>
      <c r="BZ25" s="126" t="s">
        <v>41</v>
      </c>
      <c r="CA25" s="126"/>
      <c r="CB25" s="144">
        <f>CB17</f>
        <v>0</v>
      </c>
      <c r="CC25" s="145"/>
      <c r="CD25" s="126" t="s">
        <v>148</v>
      </c>
      <c r="CE25" s="126"/>
      <c r="CF25" s="144" t="str">
        <f>CF17</f>
        <v>-</v>
      </c>
      <c r="CG25" s="145"/>
      <c r="CH25" s="131" t="s">
        <v>197</v>
      </c>
      <c r="CI25" s="138"/>
      <c r="CJ25" s="10">
        <f>'Avaliação Física 6'!DV11</f>
        <v>0</v>
      </c>
      <c r="CM25" s="50"/>
      <c r="CN25" s="124" t="s">
        <v>145</v>
      </c>
      <c r="CO25" s="124"/>
      <c r="CQ25" s="63">
        <v>0</v>
      </c>
      <c r="CR25" s="37" t="s">
        <v>144</v>
      </c>
      <c r="CT25" s="52"/>
      <c r="CU25" s="54"/>
      <c r="CV25" s="114"/>
      <c r="CW25" s="114"/>
      <c r="CX25" s="50"/>
      <c r="CY25" s="124" t="s">
        <v>145</v>
      </c>
      <c r="CZ25" s="124"/>
      <c r="DB25" s="63">
        <v>0</v>
      </c>
      <c r="DC25" s="37" t="s">
        <v>144</v>
      </c>
      <c r="DE25" s="52"/>
      <c r="DH25" s="124" t="s">
        <v>65</v>
      </c>
      <c r="DI25" s="124"/>
      <c r="DK25" s="125" t="s">
        <v>65</v>
      </c>
      <c r="DL25" s="125"/>
      <c r="DU25" s="135"/>
      <c r="DV25" s="135" t="s">
        <v>25</v>
      </c>
      <c r="EH25" s="7">
        <v>40</v>
      </c>
      <c r="EI25" s="7" t="s">
        <v>35</v>
      </c>
      <c r="EL25" s="16" t="s">
        <v>47</v>
      </c>
    </row>
    <row r="26" spans="2:144" ht="14.45" customHeight="1" x14ac:dyDescent="0.2">
      <c r="C26" s="240"/>
      <c r="D26" s="221" t="s">
        <v>248</v>
      </c>
      <c r="E26" s="221"/>
      <c r="F26" s="221"/>
      <c r="G26" s="221"/>
      <c r="H26" s="221"/>
      <c r="I26" s="221"/>
      <c r="J26" s="460"/>
      <c r="K26" s="460"/>
      <c r="L26" s="460"/>
      <c r="M26" s="460"/>
      <c r="N26" s="460"/>
      <c r="O26" s="221"/>
      <c r="P26" s="278"/>
      <c r="AH26" s="139"/>
      <c r="AI26" s="140"/>
      <c r="AJ26" s="31"/>
      <c r="AL26" s="31"/>
      <c r="AO26" s="132"/>
      <c r="AP26" s="132"/>
      <c r="AU26" s="36">
        <v>0.01</v>
      </c>
      <c r="AV26" s="34" t="s">
        <v>126</v>
      </c>
      <c r="AX26" s="110">
        <v>0.83</v>
      </c>
      <c r="AY26" s="37" t="s">
        <v>127</v>
      </c>
      <c r="BC26" s="134"/>
      <c r="BD26" s="85"/>
      <c r="BE26" s="36">
        <v>0.01</v>
      </c>
      <c r="BF26" s="34" t="s">
        <v>126</v>
      </c>
      <c r="BH26" s="110">
        <v>0.83</v>
      </c>
      <c r="BI26" s="37" t="s">
        <v>127</v>
      </c>
      <c r="BK26" s="54"/>
      <c r="BL26" s="114"/>
      <c r="BM26" s="114"/>
      <c r="BN26" s="50"/>
      <c r="BO26" s="59">
        <v>1</v>
      </c>
      <c r="BP26" s="34" t="s">
        <v>144</v>
      </c>
      <c r="BR26" s="63">
        <v>18</v>
      </c>
      <c r="BS26" s="37" t="s">
        <v>143</v>
      </c>
      <c r="BU26" s="52"/>
      <c r="CF26" s="126"/>
      <c r="CG26" s="126"/>
      <c r="CM26" s="50"/>
      <c r="CN26" s="59">
        <v>0</v>
      </c>
      <c r="CO26" s="34" t="s">
        <v>144</v>
      </c>
      <c r="CQ26" s="63">
        <v>33</v>
      </c>
      <c r="CR26" s="37" t="s">
        <v>143</v>
      </c>
      <c r="CT26" s="52"/>
      <c r="CU26" s="54"/>
      <c r="CV26" s="114"/>
      <c r="CW26" s="114"/>
      <c r="CX26" s="50"/>
      <c r="CY26" s="59">
        <v>0</v>
      </c>
      <c r="CZ26" s="34" t="s">
        <v>144</v>
      </c>
      <c r="DB26" s="63">
        <v>18</v>
      </c>
      <c r="DC26" s="37" t="s">
        <v>143</v>
      </c>
      <c r="DE26" s="52"/>
      <c r="DH26" s="59">
        <v>0</v>
      </c>
      <c r="DI26" s="34" t="s">
        <v>196</v>
      </c>
      <c r="DK26" s="65">
        <v>0</v>
      </c>
      <c r="DL26" s="37" t="s">
        <v>196</v>
      </c>
      <c r="DT26" s="477" t="s">
        <v>120</v>
      </c>
      <c r="DU26" s="489"/>
      <c r="DV26" s="28" t="str">
        <f>IF(DV11=0,"-",(EL26))</f>
        <v>-</v>
      </c>
      <c r="EL26" s="19" t="e">
        <f>((4.95/EL21)-4.5)*100</f>
        <v>#VALUE!</v>
      </c>
    </row>
    <row r="27" spans="2:144" ht="15" customHeight="1" thickBot="1" x14ac:dyDescent="0.25">
      <c r="C27" s="240"/>
      <c r="D27" s="221" t="s">
        <v>249</v>
      </c>
      <c r="E27" s="221"/>
      <c r="F27" s="221"/>
      <c r="G27" s="221"/>
      <c r="H27" s="221"/>
      <c r="I27" s="221"/>
      <c r="J27" s="460"/>
      <c r="K27" s="460"/>
      <c r="L27" s="460"/>
      <c r="M27" s="460"/>
      <c r="N27" s="460"/>
      <c r="O27" s="221"/>
      <c r="P27" s="278"/>
      <c r="AU27" s="36">
        <v>0.72</v>
      </c>
      <c r="AV27" s="34" t="s">
        <v>127</v>
      </c>
      <c r="AX27" s="110">
        <v>0.89</v>
      </c>
      <c r="AY27" s="37" t="s">
        <v>128</v>
      </c>
      <c r="BC27" s="134"/>
      <c r="BD27" s="85"/>
      <c r="BE27" s="36">
        <v>0.72</v>
      </c>
      <c r="BF27" s="34" t="s">
        <v>127</v>
      </c>
      <c r="BH27" s="110">
        <v>0.89</v>
      </c>
      <c r="BI27" s="37" t="s">
        <v>128</v>
      </c>
      <c r="BK27" s="54"/>
      <c r="BL27" s="114"/>
      <c r="BM27" s="114"/>
      <c r="BN27" s="50"/>
      <c r="BO27" s="59">
        <v>10</v>
      </c>
      <c r="BP27" s="34" t="s">
        <v>143</v>
      </c>
      <c r="BR27" s="63">
        <v>23</v>
      </c>
      <c r="BS27" s="37" t="s">
        <v>142</v>
      </c>
      <c r="BU27" s="52"/>
      <c r="CA27" s="126" t="s">
        <v>199</v>
      </c>
      <c r="CB27" s="126"/>
      <c r="CC27" s="126"/>
      <c r="CF27" t="s">
        <v>200</v>
      </c>
      <c r="CM27" s="50"/>
      <c r="CN27" s="59">
        <v>21</v>
      </c>
      <c r="CO27" s="34" t="s">
        <v>143</v>
      </c>
      <c r="CQ27" s="63">
        <v>38</v>
      </c>
      <c r="CR27" s="37" t="s">
        <v>142</v>
      </c>
      <c r="CT27" s="52"/>
      <c r="CU27" s="54"/>
      <c r="CV27" s="114"/>
      <c r="CW27" s="114"/>
      <c r="CX27" s="50"/>
      <c r="CY27" s="59">
        <v>10</v>
      </c>
      <c r="CZ27" s="34" t="s">
        <v>143</v>
      </c>
      <c r="DB27" s="63">
        <v>23</v>
      </c>
      <c r="DC27" s="37" t="s">
        <v>142</v>
      </c>
      <c r="DE27" s="52"/>
      <c r="DH27" s="59">
        <v>20</v>
      </c>
      <c r="DI27" s="34" t="s">
        <v>144</v>
      </c>
      <c r="DK27" s="65">
        <v>23</v>
      </c>
      <c r="DL27" s="37" t="s">
        <v>144</v>
      </c>
      <c r="DT27" s="477" t="s">
        <v>121</v>
      </c>
      <c r="DU27" s="489"/>
      <c r="DV27" s="9" t="str">
        <f>IF(DV11=0,"-",(DV11-DV28))</f>
        <v>-</v>
      </c>
      <c r="EL27" s="15"/>
    </row>
    <row r="28" spans="2:144" ht="14.45" customHeight="1" x14ac:dyDescent="0.2">
      <c r="C28" s="240"/>
      <c r="D28" s="221" t="s">
        <v>250</v>
      </c>
      <c r="E28" s="221"/>
      <c r="F28" s="221"/>
      <c r="G28" s="221"/>
      <c r="H28" s="221"/>
      <c r="I28" s="221"/>
      <c r="J28" s="460"/>
      <c r="K28" s="460"/>
      <c r="L28" s="460"/>
      <c r="M28" s="460"/>
      <c r="N28" s="460"/>
      <c r="O28" s="221"/>
      <c r="P28" s="278"/>
      <c r="AU28" s="36">
        <v>0.79</v>
      </c>
      <c r="AV28" s="34" t="s">
        <v>128</v>
      </c>
      <c r="AX28" s="110">
        <v>0.95</v>
      </c>
      <c r="AY28" s="37" t="s">
        <v>129</v>
      </c>
      <c r="BC28" s="50"/>
      <c r="BE28" s="36">
        <v>0.01</v>
      </c>
      <c r="BF28" s="34" t="s">
        <v>126</v>
      </c>
      <c r="BH28" s="39">
        <v>0.01</v>
      </c>
      <c r="BI28" s="37" t="s">
        <v>126</v>
      </c>
      <c r="BK28" s="52"/>
      <c r="BN28" s="50"/>
      <c r="BO28" s="59">
        <v>1</v>
      </c>
      <c r="BP28" s="34" t="s">
        <v>144</v>
      </c>
      <c r="BR28" s="65">
        <v>1</v>
      </c>
      <c r="BS28" s="37" t="s">
        <v>144</v>
      </c>
      <c r="BU28" s="52"/>
      <c r="CB28" s="151" t="e">
        <f>'Avaliação Física 6'!D290:E290</f>
        <v>#VALUE!</v>
      </c>
      <c r="CC28" s="152"/>
      <c r="CF28" s="155" t="e">
        <f>((CB28/1000)*60)/12</f>
        <v>#VALUE!</v>
      </c>
      <c r="CG28" s="156"/>
      <c r="CJ28" s="87" t="e">
        <f>CF28</f>
        <v>#VALUE!</v>
      </c>
      <c r="CL28" s="6"/>
      <c r="CM28" s="50"/>
      <c r="CN28" s="59">
        <v>25</v>
      </c>
      <c r="CO28" s="34" t="s">
        <v>142</v>
      </c>
      <c r="CQ28" s="63">
        <v>42</v>
      </c>
      <c r="CR28" s="37" t="s">
        <v>140</v>
      </c>
      <c r="CT28" s="52"/>
      <c r="CU28" s="52"/>
      <c r="CX28" s="50"/>
      <c r="CY28" s="59">
        <v>15</v>
      </c>
      <c r="CZ28" s="34" t="s">
        <v>142</v>
      </c>
      <c r="DB28" s="63">
        <v>29</v>
      </c>
      <c r="DC28" s="37" t="s">
        <v>140</v>
      </c>
      <c r="DE28" s="52"/>
      <c r="DH28" s="59">
        <v>28</v>
      </c>
      <c r="DI28" s="34" t="s">
        <v>143</v>
      </c>
      <c r="DK28" s="70">
        <v>31</v>
      </c>
      <c r="DL28" s="37" t="s">
        <v>143</v>
      </c>
      <c r="DT28" s="477" t="s">
        <v>122</v>
      </c>
      <c r="DU28" s="489"/>
      <c r="DV28" s="9" t="str">
        <f>IF(DV11=0,"-",(DV11-EI28))</f>
        <v>-</v>
      </c>
      <c r="EI28" s="29" t="e">
        <f>DV11*DV26%</f>
        <v>#VALUE!</v>
      </c>
    </row>
    <row r="29" spans="2:144" ht="14.45" customHeight="1" x14ac:dyDescent="0.2">
      <c r="C29" s="240"/>
      <c r="D29" s="221" t="s">
        <v>98</v>
      </c>
      <c r="E29" s="221"/>
      <c r="F29" s="221"/>
      <c r="G29" s="221"/>
      <c r="H29" s="221"/>
      <c r="I29" s="221"/>
      <c r="J29" s="460"/>
      <c r="K29" s="460"/>
      <c r="L29" s="460"/>
      <c r="M29" s="460"/>
      <c r="N29" s="460"/>
      <c r="O29" s="221"/>
      <c r="P29" s="278"/>
      <c r="AU29" s="36">
        <v>0.85</v>
      </c>
      <c r="AV29" s="34" t="s">
        <v>129</v>
      </c>
      <c r="AX29" s="38"/>
      <c r="AY29" s="38"/>
      <c r="BC29" s="50"/>
      <c r="BE29" s="36">
        <v>0.76</v>
      </c>
      <c r="BF29" s="34" t="s">
        <v>127</v>
      </c>
      <c r="BH29" s="41">
        <v>0.9</v>
      </c>
      <c r="BI29" s="37" t="s">
        <v>127</v>
      </c>
      <c r="BK29" s="52"/>
      <c r="BN29" s="50"/>
      <c r="BO29" s="59">
        <v>2</v>
      </c>
      <c r="BP29" s="34" t="s">
        <v>143</v>
      </c>
      <c r="BR29" s="65">
        <v>10</v>
      </c>
      <c r="BS29" s="37" t="s">
        <v>143</v>
      </c>
      <c r="BU29" s="52"/>
      <c r="CJ29" s="88" t="e">
        <f>CB28</f>
        <v>#VALUE!</v>
      </c>
      <c r="CM29" s="50"/>
      <c r="CN29" s="59">
        <v>31</v>
      </c>
      <c r="CO29" s="34" t="s">
        <v>140</v>
      </c>
      <c r="CQ29" s="64">
        <v>48</v>
      </c>
      <c r="CR29" s="38" t="s">
        <v>141</v>
      </c>
      <c r="CT29" s="52"/>
      <c r="CU29" s="52"/>
      <c r="CX29" s="50"/>
      <c r="CY29" s="59">
        <v>21</v>
      </c>
      <c r="CZ29" s="34" t="s">
        <v>140</v>
      </c>
      <c r="DB29" s="64">
        <v>39</v>
      </c>
      <c r="DC29" s="38" t="s">
        <v>141</v>
      </c>
      <c r="DE29" s="52"/>
      <c r="DH29" s="59">
        <v>38</v>
      </c>
      <c r="DI29" s="34" t="s">
        <v>140</v>
      </c>
      <c r="DK29" s="70">
        <v>39</v>
      </c>
      <c r="DL29" s="37" t="s">
        <v>140</v>
      </c>
    </row>
    <row r="30" spans="2:144" ht="14.45" customHeight="1" x14ac:dyDescent="0.2">
      <c r="C30" s="240"/>
      <c r="D30" s="221" t="s">
        <v>251</v>
      </c>
      <c r="E30" s="221"/>
      <c r="F30" s="221"/>
      <c r="G30" s="221"/>
      <c r="H30" s="221"/>
      <c r="I30" s="221"/>
      <c r="J30" s="460"/>
      <c r="K30" s="460"/>
      <c r="L30" s="460"/>
      <c r="M30" s="460"/>
      <c r="N30" s="460"/>
      <c r="O30" s="221"/>
      <c r="P30" s="278"/>
      <c r="AG30" s="141" t="s">
        <v>151</v>
      </c>
      <c r="AH30" s="141"/>
      <c r="AI30" s="141"/>
      <c r="AJ30" s="83">
        <f>'Avaliação Física 6'!G94</f>
        <v>0</v>
      </c>
      <c r="AO30" s="142" t="e">
        <f>IF(AND(BF49&gt;BF47,BF47&gt;BF48),"ECTOMORFO-ENDOMORFO","")</f>
        <v>#DIV/0!</v>
      </c>
      <c r="AP30" s="142"/>
      <c r="AQ30" s="142"/>
      <c r="AR30" s="142"/>
      <c r="AU30" s="35"/>
      <c r="AV30" s="35"/>
      <c r="AX30" s="38"/>
      <c r="AY30" s="38"/>
      <c r="BC30" s="50"/>
      <c r="BE30" s="36">
        <v>0.84</v>
      </c>
      <c r="BF30" s="34" t="s">
        <v>128</v>
      </c>
      <c r="BH30" s="39">
        <v>0.97</v>
      </c>
      <c r="BI30" s="37" t="s">
        <v>128</v>
      </c>
      <c r="BK30" s="52"/>
      <c r="BN30" s="50"/>
      <c r="BO30" s="59">
        <v>7</v>
      </c>
      <c r="BP30" s="34" t="s">
        <v>142</v>
      </c>
      <c r="BR30" s="65">
        <v>13</v>
      </c>
      <c r="BS30" s="37" t="s">
        <v>142</v>
      </c>
      <c r="BU30" s="52"/>
      <c r="CA30" s="126" t="s">
        <v>198</v>
      </c>
      <c r="CB30" s="126"/>
      <c r="CC30" s="126"/>
      <c r="CD30" s="126"/>
      <c r="CF30" s="126" t="s">
        <v>150</v>
      </c>
      <c r="CG30" s="126"/>
      <c r="CJ30" s="89">
        <f>CB31</f>
        <v>-11.2</v>
      </c>
      <c r="CM30" s="50"/>
      <c r="CN30" s="60">
        <v>36</v>
      </c>
      <c r="CO30" s="35" t="s">
        <v>141</v>
      </c>
      <c r="CQ30" s="38"/>
      <c r="CR30" s="38"/>
      <c r="CT30" s="52"/>
      <c r="CU30" s="52"/>
      <c r="CX30" s="50"/>
      <c r="CY30" s="60">
        <v>30</v>
      </c>
      <c r="CZ30" s="35" t="s">
        <v>141</v>
      </c>
      <c r="DB30" s="38"/>
      <c r="DC30" s="38"/>
      <c r="DE30" s="52"/>
      <c r="DH30" s="60">
        <v>45</v>
      </c>
      <c r="DI30" s="35" t="s">
        <v>141</v>
      </c>
      <c r="DK30" s="64">
        <v>49</v>
      </c>
      <c r="DL30" s="38" t="s">
        <v>141</v>
      </c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</row>
    <row r="31" spans="2:144" ht="14.45" customHeight="1" x14ac:dyDescent="0.2">
      <c r="C31" s="240"/>
      <c r="D31" s="221" t="s">
        <v>99</v>
      </c>
      <c r="E31" s="221"/>
      <c r="F31" s="221"/>
      <c r="G31" s="221"/>
      <c r="H31" s="221"/>
      <c r="I31" s="221"/>
      <c r="J31" s="460"/>
      <c r="K31" s="460"/>
      <c r="L31" s="460"/>
      <c r="M31" s="460"/>
      <c r="N31" s="460"/>
      <c r="O31" s="221"/>
      <c r="P31" s="278"/>
      <c r="AH31" s="141" t="s">
        <v>152</v>
      </c>
      <c r="AI31" s="141"/>
      <c r="AJ31" s="31">
        <f>'Avaliação Física 6'!K94</f>
        <v>0</v>
      </c>
      <c r="AO31" s="142" t="e">
        <f>IF(AND(BF47&gt;BF49,BF49&gt;BF48),"ENDOMORFO-ECTOMORFO","")</f>
        <v>#DIV/0!</v>
      </c>
      <c r="AP31" s="142"/>
      <c r="AQ31" s="142"/>
      <c r="AR31" s="142"/>
      <c r="AU31" s="124" t="s">
        <v>130</v>
      </c>
      <c r="AV31" s="124"/>
      <c r="AX31" s="125" t="s">
        <v>65</v>
      </c>
      <c r="AY31" s="125"/>
      <c r="BC31" s="50"/>
      <c r="BE31" s="36">
        <v>0.91</v>
      </c>
      <c r="BF31" s="34" t="s">
        <v>129</v>
      </c>
      <c r="BH31" s="39">
        <v>1.03</v>
      </c>
      <c r="BI31" s="37" t="s">
        <v>129</v>
      </c>
      <c r="BK31" s="52"/>
      <c r="BN31" s="50"/>
      <c r="BO31" s="59">
        <v>11</v>
      </c>
      <c r="BP31" s="34" t="s">
        <v>140</v>
      </c>
      <c r="BR31" s="65">
        <v>17</v>
      </c>
      <c r="BS31" s="37" t="s">
        <v>140</v>
      </c>
      <c r="BU31" s="52"/>
      <c r="CB31" s="157">
        <f>('Avaliação Física 6'!D290-504)/45</f>
        <v>-11.2</v>
      </c>
      <c r="CC31" s="158"/>
      <c r="CD31" s="159"/>
      <c r="CF31" s="153" t="e">
        <f>IF(CB28="","-",DN12)</f>
        <v>#VALUE!</v>
      </c>
      <c r="CG31" s="154"/>
      <c r="CJ31" s="90" t="e">
        <f>CF31</f>
        <v>#VALUE!</v>
      </c>
      <c r="CM31" s="50"/>
      <c r="CN31" s="146" t="s">
        <v>146</v>
      </c>
      <c r="CO31" s="147"/>
      <c r="CQ31" s="125" t="s">
        <v>64</v>
      </c>
      <c r="CR31" s="125"/>
      <c r="CT31" s="52"/>
      <c r="CU31" s="52"/>
      <c r="CX31" s="50"/>
      <c r="CY31" s="146" t="s">
        <v>146</v>
      </c>
      <c r="CZ31" s="147"/>
      <c r="DB31" s="125" t="s">
        <v>64</v>
      </c>
      <c r="DC31" s="125"/>
      <c r="DE31" s="52"/>
      <c r="DH31" s="146" t="s">
        <v>194</v>
      </c>
      <c r="DI31" s="147"/>
      <c r="DK31" s="149" t="s">
        <v>194</v>
      </c>
      <c r="DL31" s="150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I31" s="426" t="s">
        <v>118</v>
      </c>
      <c r="EJ31" s="426"/>
      <c r="EK31" s="8">
        <f>DV11</f>
        <v>0</v>
      </c>
    </row>
    <row r="32" spans="2:144" ht="14.45" customHeight="1" x14ac:dyDescent="0.2">
      <c r="C32" s="240"/>
      <c r="D32" s="221" t="s">
        <v>100</v>
      </c>
      <c r="E32" s="221"/>
      <c r="F32" s="221"/>
      <c r="G32" s="221"/>
      <c r="H32" s="221"/>
      <c r="I32" s="221"/>
      <c r="J32" s="460"/>
      <c r="K32" s="460"/>
      <c r="L32" s="460"/>
      <c r="M32" s="460"/>
      <c r="N32" s="460"/>
      <c r="O32" s="221"/>
      <c r="P32" s="278"/>
      <c r="AH32" s="141" t="s">
        <v>153</v>
      </c>
      <c r="AI32" s="141"/>
      <c r="AJ32" s="84">
        <f>'Avaliação Física 6'!G95</f>
        <v>0</v>
      </c>
      <c r="AN32" s="314" t="s">
        <v>188</v>
      </c>
      <c r="AO32" s="142" t="e">
        <f>IF(AND(BF47=BF48,BF49&gt;BF48),"ECTOMORFO","")</f>
        <v>#DIV/0!</v>
      </c>
      <c r="AP32" s="142"/>
      <c r="AQ32" s="142"/>
      <c r="AR32" s="142"/>
      <c r="AU32" s="36">
        <v>0.01</v>
      </c>
      <c r="AV32" s="34" t="s">
        <v>126</v>
      </c>
      <c r="AX32" s="39">
        <v>0.01</v>
      </c>
      <c r="AY32" s="37" t="s">
        <v>126</v>
      </c>
      <c r="BC32" s="50"/>
      <c r="BH32" s="38"/>
      <c r="BI32" s="38"/>
      <c r="BK32" s="52"/>
      <c r="BN32" s="50"/>
      <c r="BO32" s="60">
        <v>21</v>
      </c>
      <c r="BP32" s="35" t="s">
        <v>141</v>
      </c>
      <c r="BR32" s="64">
        <v>22</v>
      </c>
      <c r="BS32" s="38" t="s">
        <v>141</v>
      </c>
      <c r="BU32" s="52"/>
      <c r="CM32" s="50"/>
      <c r="CN32" s="59">
        <v>0</v>
      </c>
      <c r="CO32" s="34" t="s">
        <v>144</v>
      </c>
      <c r="CQ32" s="65">
        <v>0</v>
      </c>
      <c r="CR32" s="37" t="s">
        <v>144</v>
      </c>
      <c r="CT32" s="52"/>
      <c r="CU32" s="52"/>
      <c r="CX32" s="50"/>
      <c r="CY32" s="59">
        <v>0</v>
      </c>
      <c r="CZ32" s="34" t="s">
        <v>144</v>
      </c>
      <c r="DB32" s="65">
        <v>0</v>
      </c>
      <c r="DC32" s="37" t="s">
        <v>144</v>
      </c>
      <c r="DE32" s="52"/>
      <c r="DH32" s="59">
        <v>0</v>
      </c>
      <c r="DI32" s="34" t="s">
        <v>196</v>
      </c>
      <c r="DK32" s="65">
        <v>0</v>
      </c>
      <c r="DL32" s="37" t="s">
        <v>196</v>
      </c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I32" s="426" t="s">
        <v>122</v>
      </c>
      <c r="EJ32" s="483"/>
      <c r="EK32" s="9" t="str">
        <f>DV28</f>
        <v>-</v>
      </c>
    </row>
    <row r="33" spans="3:141" ht="14.45" customHeight="1" x14ac:dyDescent="0.2">
      <c r="C33" s="240"/>
      <c r="D33" s="221" t="s">
        <v>101</v>
      </c>
      <c r="E33" s="221"/>
      <c r="F33" s="221"/>
      <c r="G33" s="221"/>
      <c r="H33" s="221"/>
      <c r="I33" s="221"/>
      <c r="J33" s="460"/>
      <c r="K33" s="460"/>
      <c r="L33" s="460"/>
      <c r="M33" s="460"/>
      <c r="N33" s="460"/>
      <c r="O33" s="221"/>
      <c r="P33" s="278"/>
      <c r="AO33" s="142" t="e">
        <f>IF(AND(BF48&gt;BF49,BF49&gt;BF47),"MESOMORFO-ECTOMÓRFICO","")</f>
        <v>#DIV/0!</v>
      </c>
      <c r="AP33" s="142"/>
      <c r="AQ33" s="142"/>
      <c r="AR33" s="142"/>
      <c r="AU33" s="36">
        <v>0.73</v>
      </c>
      <c r="AV33" s="34" t="s">
        <v>127</v>
      </c>
      <c r="AX33" s="39">
        <v>0.84</v>
      </c>
      <c r="AY33" s="37" t="s">
        <v>127</v>
      </c>
      <c r="BC33" s="50"/>
      <c r="BH33" s="125" t="s">
        <v>66</v>
      </c>
      <c r="BI33" s="125"/>
      <c r="BK33" s="52"/>
      <c r="BN33" s="50"/>
      <c r="BR33" s="125" t="s">
        <v>131</v>
      </c>
      <c r="BS33" s="125"/>
      <c r="BU33" s="52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M33" s="50"/>
      <c r="CN33" s="59">
        <v>15</v>
      </c>
      <c r="CO33" s="34" t="s">
        <v>143</v>
      </c>
      <c r="CQ33" s="65">
        <v>29</v>
      </c>
      <c r="CR33" s="37" t="s">
        <v>143</v>
      </c>
      <c r="CT33" s="52"/>
      <c r="CU33" s="52"/>
      <c r="CX33" s="50"/>
      <c r="CY33" s="59">
        <v>8</v>
      </c>
      <c r="CZ33" s="34" t="s">
        <v>143</v>
      </c>
      <c r="DB33" s="65">
        <v>17</v>
      </c>
      <c r="DC33" s="37" t="s">
        <v>143</v>
      </c>
      <c r="DE33" s="52"/>
      <c r="DH33" s="59">
        <v>17</v>
      </c>
      <c r="DI33" s="34" t="s">
        <v>144</v>
      </c>
      <c r="DK33" s="65">
        <v>20</v>
      </c>
      <c r="DL33" s="37" t="s">
        <v>144</v>
      </c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I33" s="310"/>
      <c r="EJ33" s="315"/>
      <c r="EK33" s="9"/>
    </row>
    <row r="34" spans="3:141" ht="14.45" customHeight="1" x14ac:dyDescent="0.2">
      <c r="C34" s="240"/>
      <c r="D34" s="221" t="s">
        <v>102</v>
      </c>
      <c r="E34" s="221"/>
      <c r="F34" s="221"/>
      <c r="G34" s="221"/>
      <c r="H34" s="221"/>
      <c r="I34" s="221"/>
      <c r="J34" s="460"/>
      <c r="K34" s="460"/>
      <c r="L34" s="460"/>
      <c r="M34" s="460"/>
      <c r="N34" s="460"/>
      <c r="O34" s="221"/>
      <c r="P34" s="278"/>
      <c r="Y34" s="163" t="s">
        <v>267</v>
      </c>
      <c r="Z34" s="3"/>
      <c r="AA34" s="3"/>
      <c r="AB34" s="164"/>
      <c r="AO34" s="142" t="e">
        <f>IF(AND(BF49&gt;BF48,BF48&gt;BF47),"ECTOMORFO-MESOMORFO","")</f>
        <v>#DIV/0!</v>
      </c>
      <c r="AP34" s="142"/>
      <c r="AQ34" s="142"/>
      <c r="AR34" s="142"/>
      <c r="AU34" s="36">
        <v>0.8</v>
      </c>
      <c r="AV34" s="34" t="s">
        <v>128</v>
      </c>
      <c r="AX34" s="39">
        <v>0.92</v>
      </c>
      <c r="AY34" s="37" t="s">
        <v>128</v>
      </c>
      <c r="BC34" s="50"/>
      <c r="BH34" s="41">
        <v>0.01</v>
      </c>
      <c r="BI34" s="37" t="s">
        <v>126</v>
      </c>
      <c r="BK34" s="52"/>
      <c r="BN34" s="50"/>
      <c r="BO34" s="124" t="s">
        <v>66</v>
      </c>
      <c r="BP34" s="124"/>
      <c r="BR34" s="65">
        <v>1</v>
      </c>
      <c r="BS34" s="37" t="s">
        <v>144</v>
      </c>
      <c r="BU34" s="52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M34" s="50"/>
      <c r="CN34" s="69">
        <v>20</v>
      </c>
      <c r="CO34" s="35" t="s">
        <v>142</v>
      </c>
      <c r="CQ34" s="70">
        <v>33</v>
      </c>
      <c r="CR34" s="38" t="s">
        <v>142</v>
      </c>
      <c r="CT34" s="52"/>
      <c r="CU34" s="52"/>
      <c r="CX34" s="50"/>
      <c r="CY34" s="69">
        <v>13</v>
      </c>
      <c r="CZ34" s="35" t="s">
        <v>142</v>
      </c>
      <c r="DB34" s="70">
        <v>22</v>
      </c>
      <c r="DC34" s="38" t="s">
        <v>142</v>
      </c>
      <c r="DE34" s="52"/>
      <c r="DH34" s="69">
        <v>24</v>
      </c>
      <c r="DI34" s="34" t="s">
        <v>143</v>
      </c>
      <c r="DK34" s="65">
        <v>27</v>
      </c>
      <c r="DL34" s="37" t="s">
        <v>143</v>
      </c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I34" s="310"/>
      <c r="EJ34" s="315"/>
      <c r="EK34" s="9"/>
    </row>
    <row r="35" spans="3:141" ht="14.45" customHeight="1" x14ac:dyDescent="0.2">
      <c r="C35" s="240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78"/>
      <c r="Y35" s="2">
        <f>F78+J79+N77</f>
        <v>0</v>
      </c>
      <c r="Z35" s="106"/>
      <c r="AA35" s="106"/>
      <c r="AB35" s="165"/>
      <c r="AO35" s="142" t="e">
        <f>IF(AND(BF48&gt;BF47,BF48=BF49),"MESOECTOMORFO","")</f>
        <v>#DIV/0!</v>
      </c>
      <c r="AP35" s="142"/>
      <c r="AQ35" s="142"/>
      <c r="AR35" s="142"/>
      <c r="AU35" s="36">
        <v>0.88</v>
      </c>
      <c r="AV35" s="34" t="s">
        <v>129</v>
      </c>
      <c r="AX35" s="39">
        <v>0.96</v>
      </c>
      <c r="AY35" s="37" t="s">
        <v>129</v>
      </c>
      <c r="BC35" s="50"/>
      <c r="BH35" s="41"/>
      <c r="BI35" s="37"/>
      <c r="BK35" s="52"/>
      <c r="BN35" s="50"/>
      <c r="BO35" s="66"/>
      <c r="BP35" s="112"/>
      <c r="BR35" s="65"/>
      <c r="BS35" s="37"/>
      <c r="BU35" s="52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M35" s="50"/>
      <c r="CN35" s="69">
        <v>24</v>
      </c>
      <c r="CO35" s="35" t="s">
        <v>140</v>
      </c>
      <c r="CQ35" s="70">
        <v>37</v>
      </c>
      <c r="CR35" s="38" t="s">
        <v>140</v>
      </c>
      <c r="CT35" s="52"/>
      <c r="CU35" s="52"/>
      <c r="CX35" s="50"/>
      <c r="CY35" s="69">
        <v>20</v>
      </c>
      <c r="CZ35" s="35" t="s">
        <v>140</v>
      </c>
      <c r="DB35" s="70">
        <v>19</v>
      </c>
      <c r="DC35" s="38" t="s">
        <v>140</v>
      </c>
      <c r="DE35" s="52"/>
      <c r="DH35" s="69">
        <v>31</v>
      </c>
      <c r="DI35" s="34" t="s">
        <v>140</v>
      </c>
      <c r="DK35" s="65">
        <v>36</v>
      </c>
      <c r="DL35" s="37" t="s">
        <v>140</v>
      </c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I35" s="310"/>
      <c r="EJ35" s="315"/>
      <c r="EK35" s="9"/>
    </row>
    <row r="36" spans="3:141" ht="14.45" customHeight="1" x14ac:dyDescent="0.2">
      <c r="C36" s="240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78"/>
      <c r="Y36" s="2"/>
      <c r="Z36" s="106"/>
      <c r="AA36" s="106"/>
      <c r="AB36" s="165"/>
      <c r="AO36" s="142" t="e">
        <f>IF(AND(BF48&gt;BF47,BF47&gt;BF49),"MESOMORFO-ENDOMÓRFICO","")</f>
        <v>#DIV/0!</v>
      </c>
      <c r="AP36" s="142"/>
      <c r="AQ36" s="142"/>
      <c r="AR36" s="142"/>
      <c r="AU36" s="35"/>
      <c r="AV36" s="35"/>
      <c r="AX36" s="38"/>
      <c r="AY36" s="38"/>
      <c r="BC36" s="50"/>
      <c r="BH36" s="41"/>
      <c r="BI36" s="37"/>
      <c r="BK36" s="52"/>
      <c r="BN36" s="50"/>
      <c r="BO36" s="66"/>
      <c r="BP36" s="112"/>
      <c r="BR36" s="65"/>
      <c r="BS36" s="37"/>
      <c r="BU36" s="52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M36" s="50"/>
      <c r="CN36" s="60">
        <v>29</v>
      </c>
      <c r="CO36" s="35" t="s">
        <v>141</v>
      </c>
      <c r="CQ36" s="64">
        <v>43</v>
      </c>
      <c r="CR36" s="38" t="s">
        <v>141</v>
      </c>
      <c r="CT36" s="52"/>
      <c r="CU36" s="52"/>
      <c r="CX36" s="50"/>
      <c r="CY36" s="60">
        <v>27</v>
      </c>
      <c r="CZ36" s="35" t="s">
        <v>141</v>
      </c>
      <c r="DB36" s="64">
        <v>36</v>
      </c>
      <c r="DC36" s="38" t="s">
        <v>141</v>
      </c>
      <c r="DE36" s="52"/>
      <c r="DH36" s="60">
        <v>42</v>
      </c>
      <c r="DI36" s="35" t="s">
        <v>141</v>
      </c>
      <c r="DK36" s="64">
        <v>45</v>
      </c>
      <c r="DL36" s="38" t="s">
        <v>141</v>
      </c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I36" s="426" t="s">
        <v>121</v>
      </c>
      <c r="EJ36" s="483"/>
      <c r="EK36" s="9" t="str">
        <f>DV27</f>
        <v>-</v>
      </c>
    </row>
    <row r="37" spans="3:141" ht="15" x14ac:dyDescent="0.2">
      <c r="C37" s="240"/>
      <c r="D37" s="221" t="s">
        <v>245</v>
      </c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78"/>
      <c r="Y37" s="2" t="s">
        <v>268</v>
      </c>
      <c r="Z37" s="106"/>
      <c r="AA37" s="106"/>
      <c r="AB37" s="165"/>
      <c r="AN37" s="314" t="s">
        <v>189</v>
      </c>
      <c r="AO37" s="142" t="e">
        <f>IF(AND(BF48&gt;BF47,BF47=BF49),"MESOMORFO","")</f>
        <v>#DIV/0!</v>
      </c>
      <c r="AP37" s="142"/>
      <c r="AQ37" s="142"/>
      <c r="AR37" s="142"/>
      <c r="AU37" s="124" t="s">
        <v>131</v>
      </c>
      <c r="AV37" s="124"/>
      <c r="AX37" s="125" t="s">
        <v>130</v>
      </c>
      <c r="AY37" s="125"/>
      <c r="BC37" s="50"/>
      <c r="BH37" s="41"/>
      <c r="BI37" s="37"/>
      <c r="BK37" s="52"/>
      <c r="BN37" s="50"/>
      <c r="BO37" s="66"/>
      <c r="BP37" s="112"/>
      <c r="BR37" s="65"/>
      <c r="BS37" s="37"/>
      <c r="BU37" s="52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M37" s="50"/>
      <c r="CN37" s="124" t="s">
        <v>130</v>
      </c>
      <c r="CO37" s="124"/>
      <c r="CQ37" s="125" t="s">
        <v>65</v>
      </c>
      <c r="CR37" s="125"/>
      <c r="CT37" s="52"/>
      <c r="CU37" s="52"/>
      <c r="CX37" s="50"/>
      <c r="CY37" s="124" t="s">
        <v>130</v>
      </c>
      <c r="CZ37" s="124"/>
      <c r="DB37" s="125" t="s">
        <v>65</v>
      </c>
      <c r="DC37" s="125"/>
      <c r="DE37" s="52"/>
      <c r="DH37" s="124" t="s">
        <v>131</v>
      </c>
      <c r="DI37" s="124"/>
      <c r="DK37" s="125" t="s">
        <v>131</v>
      </c>
      <c r="DL37" s="125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I37" s="310"/>
      <c r="EJ37" s="315"/>
      <c r="EK37" s="9"/>
    </row>
    <row r="38" spans="3:141" ht="15" x14ac:dyDescent="0.2">
      <c r="C38" s="240"/>
      <c r="D38" s="377" t="s">
        <v>255</v>
      </c>
      <c r="E38" s="377"/>
      <c r="F38" s="460"/>
      <c r="G38" s="460"/>
      <c r="H38" s="460"/>
      <c r="I38" s="460"/>
      <c r="J38" s="460"/>
      <c r="K38" s="460"/>
      <c r="L38" s="460"/>
      <c r="M38" s="460"/>
      <c r="N38" s="460"/>
      <c r="O38" s="221"/>
      <c r="P38" s="278"/>
      <c r="Y38" s="166">
        <f>N78+J79+F77</f>
        <v>0</v>
      </c>
      <c r="Z38" s="1"/>
      <c r="AA38" s="1"/>
      <c r="AB38" s="168"/>
      <c r="AO38" s="142" t="e">
        <f>IF(AND(BF47=BF48,BF48&gt;BF49),"MESOENDOMORFO","")</f>
        <v>#DIV/0!</v>
      </c>
      <c r="AP38" s="142"/>
      <c r="AQ38" s="142"/>
      <c r="AR38" s="142"/>
      <c r="AU38" s="36">
        <v>0.01</v>
      </c>
      <c r="AV38" s="34" t="s">
        <v>126</v>
      </c>
      <c r="AX38" s="39">
        <v>0.01</v>
      </c>
      <c r="AY38" s="37" t="s">
        <v>126</v>
      </c>
      <c r="BC38" s="50"/>
      <c r="BH38" s="39">
        <v>0.91</v>
      </c>
      <c r="BI38" s="37" t="s">
        <v>127</v>
      </c>
      <c r="BK38" s="52"/>
      <c r="BN38" s="50"/>
      <c r="BO38" s="60">
        <v>1</v>
      </c>
      <c r="BP38" s="34" t="s">
        <v>144</v>
      </c>
      <c r="BR38" s="65">
        <v>7</v>
      </c>
      <c r="BS38" s="37" t="s">
        <v>143</v>
      </c>
      <c r="BU38" s="52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M38" s="50"/>
      <c r="CN38" s="59">
        <v>0</v>
      </c>
      <c r="CO38" s="34" t="s">
        <v>144</v>
      </c>
      <c r="CQ38" s="65">
        <v>0</v>
      </c>
      <c r="CR38" s="37" t="s">
        <v>144</v>
      </c>
      <c r="CT38" s="52"/>
      <c r="CU38" s="52"/>
      <c r="CX38" s="50"/>
      <c r="CY38" s="59">
        <v>0</v>
      </c>
      <c r="CZ38" s="34" t="s">
        <v>144</v>
      </c>
      <c r="DB38" s="65">
        <v>0</v>
      </c>
      <c r="DC38" s="37" t="s">
        <v>144</v>
      </c>
      <c r="DE38" s="52"/>
      <c r="DH38" s="59">
        <v>0</v>
      </c>
      <c r="DI38" s="34" t="s">
        <v>196</v>
      </c>
      <c r="DK38" s="65">
        <v>0</v>
      </c>
      <c r="DL38" s="37" t="s">
        <v>196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I38" s="310"/>
      <c r="EJ38" s="315"/>
      <c r="EK38" s="9"/>
    </row>
    <row r="39" spans="3:141" ht="15" x14ac:dyDescent="0.2">
      <c r="C39" s="240"/>
      <c r="D39" s="377" t="s">
        <v>13</v>
      </c>
      <c r="E39" s="377"/>
      <c r="F39" s="460"/>
      <c r="G39" s="460"/>
      <c r="H39" s="460"/>
      <c r="I39" s="460"/>
      <c r="J39" s="460"/>
      <c r="K39" s="460"/>
      <c r="L39" s="460"/>
      <c r="M39" s="460"/>
      <c r="N39" s="460"/>
      <c r="O39" s="221"/>
      <c r="P39" s="278"/>
      <c r="Y39" s="106"/>
      <c r="Z39" s="106"/>
      <c r="AA39" s="106"/>
      <c r="AB39" s="106"/>
      <c r="AO39" s="143" t="e">
        <f>IF(AND(BF47&gt;BF48,BF48&gt;BF49),"ENDOMORFO-MESOMORFO","")</f>
        <v>#DIV/0!</v>
      </c>
      <c r="AP39" s="143"/>
      <c r="AQ39" s="143"/>
      <c r="AR39" s="143"/>
      <c r="AU39" s="36">
        <v>0.74</v>
      </c>
      <c r="AV39" s="34" t="s">
        <v>127</v>
      </c>
      <c r="AX39" s="39">
        <v>0.88</v>
      </c>
      <c r="AY39" s="37" t="s">
        <v>127</v>
      </c>
      <c r="BC39" s="50"/>
      <c r="BH39" s="39">
        <v>0.99</v>
      </c>
      <c r="BI39" s="37" t="s">
        <v>128</v>
      </c>
      <c r="BK39" s="52"/>
      <c r="BN39" s="50"/>
      <c r="BO39" s="60">
        <v>1</v>
      </c>
      <c r="BP39" s="34" t="s">
        <v>143</v>
      </c>
      <c r="BR39" s="65">
        <v>10</v>
      </c>
      <c r="BS39" s="37" t="s">
        <v>142</v>
      </c>
      <c r="BU39" s="52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M39" s="50"/>
      <c r="CN39" s="59">
        <v>7</v>
      </c>
      <c r="CO39" s="34" t="s">
        <v>143</v>
      </c>
      <c r="CQ39" s="65">
        <v>22</v>
      </c>
      <c r="CR39" s="37" t="s">
        <v>143</v>
      </c>
      <c r="CT39" s="52"/>
      <c r="CU39" s="52"/>
      <c r="CX39" s="50"/>
      <c r="CY39" s="59">
        <v>5</v>
      </c>
      <c r="CZ39" s="34" t="s">
        <v>143</v>
      </c>
      <c r="DB39" s="65">
        <v>12</v>
      </c>
      <c r="DC39" s="37" t="s">
        <v>143</v>
      </c>
      <c r="DE39" s="52"/>
      <c r="DH39" s="59">
        <v>15</v>
      </c>
      <c r="DI39" s="34" t="s">
        <v>144</v>
      </c>
      <c r="DK39" s="65">
        <v>18</v>
      </c>
      <c r="DL39" s="37" t="s">
        <v>144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I39" s="310"/>
      <c r="EJ39" s="315"/>
      <c r="EK39" s="9"/>
    </row>
    <row r="40" spans="3:141" ht="15" x14ac:dyDescent="0.2">
      <c r="C40" s="240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78"/>
      <c r="Y40" s="172" t="s">
        <v>270</v>
      </c>
      <c r="Z40" s="169"/>
      <c r="AA40" s="171"/>
      <c r="AB40" s="106"/>
      <c r="AO40" s="142" t="e">
        <f>IF(AND(BF47=BF49,BF47&gt;BF48),"ENDOECTOMORFO","")</f>
        <v>#DIV/0!</v>
      </c>
      <c r="AP40" s="142"/>
      <c r="AQ40" s="142"/>
      <c r="AR40" s="142"/>
      <c r="AU40" s="36">
        <v>0.82</v>
      </c>
      <c r="AV40" s="34" t="s">
        <v>128</v>
      </c>
      <c r="AX40" s="39">
        <v>0.96</v>
      </c>
      <c r="AY40" s="37" t="s">
        <v>128</v>
      </c>
      <c r="BC40" s="50"/>
      <c r="BH40" s="39">
        <v>1.04</v>
      </c>
      <c r="BI40" s="37" t="s">
        <v>129</v>
      </c>
      <c r="BK40" s="52"/>
      <c r="BN40" s="50"/>
      <c r="BO40" s="60">
        <v>5</v>
      </c>
      <c r="BP40" s="34" t="s">
        <v>142</v>
      </c>
      <c r="BR40" s="65">
        <v>13</v>
      </c>
      <c r="BS40" s="37" t="s">
        <v>140</v>
      </c>
      <c r="BU40" s="52"/>
      <c r="BY40" s="4"/>
      <c r="BZ40" s="148"/>
      <c r="CA40" s="148"/>
      <c r="CB40" s="68"/>
      <c r="CC40" s="68"/>
      <c r="CD40" s="115"/>
      <c r="CE40" s="115"/>
      <c r="CF40" s="115"/>
      <c r="CG40" s="115"/>
      <c r="CH40" s="115"/>
      <c r="CI40" s="115"/>
      <c r="CJ40" s="115"/>
      <c r="CK40" s="4"/>
      <c r="CM40" s="50"/>
      <c r="CN40" s="59">
        <v>15</v>
      </c>
      <c r="CO40" s="34" t="s">
        <v>142</v>
      </c>
      <c r="CQ40" s="65">
        <v>27</v>
      </c>
      <c r="CR40" s="37" t="s">
        <v>142</v>
      </c>
      <c r="CT40" s="52"/>
      <c r="CU40" s="52"/>
      <c r="CX40" s="50"/>
      <c r="CY40" s="59">
        <v>11</v>
      </c>
      <c r="CZ40" s="34" t="s">
        <v>142</v>
      </c>
      <c r="DB40" s="65">
        <v>17</v>
      </c>
      <c r="DC40" s="37" t="s">
        <v>142</v>
      </c>
      <c r="DE40" s="52"/>
      <c r="DH40" s="59">
        <v>21</v>
      </c>
      <c r="DI40" s="34" t="s">
        <v>143</v>
      </c>
      <c r="DK40" s="65">
        <v>25</v>
      </c>
      <c r="DL40" s="37" t="s">
        <v>143</v>
      </c>
      <c r="EI40" s="426" t="s">
        <v>120</v>
      </c>
      <c r="EJ40" s="483"/>
      <c r="EK40" s="28" t="str">
        <f>DV26</f>
        <v>-</v>
      </c>
    </row>
    <row r="41" spans="3:141" ht="15" x14ac:dyDescent="0.2">
      <c r="C41" s="240"/>
      <c r="D41" s="221" t="s">
        <v>246</v>
      </c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78"/>
      <c r="Y41" s="2" t="e">
        <f>IF(EJ4=0,SUM(1.1665-((LOG10(Y38))*0.07063)),SUM(1.17136-((LOG10(Y35))*0.06706)))</f>
        <v>#NUM!</v>
      </c>
      <c r="Z41" s="106"/>
      <c r="AA41" s="165"/>
      <c r="AN41" s="314" t="s">
        <v>190</v>
      </c>
      <c r="AO41" s="142" t="e">
        <f>IF(AND(BF47&gt;BF48,BF48=BF49),"ENDOMORFO","")</f>
        <v>#DIV/0!</v>
      </c>
      <c r="AP41" s="142"/>
      <c r="AQ41" s="142"/>
      <c r="AR41" s="142"/>
      <c r="AU41" s="36">
        <v>0.89</v>
      </c>
      <c r="AV41" s="34" t="s">
        <v>129</v>
      </c>
      <c r="AX41" s="41">
        <v>1.01</v>
      </c>
      <c r="AY41" s="37" t="s">
        <v>129</v>
      </c>
      <c r="BC41" s="50"/>
      <c r="BK41" s="52"/>
      <c r="BN41" s="50"/>
      <c r="BO41" s="60">
        <v>12</v>
      </c>
      <c r="BP41" s="34" t="s">
        <v>140</v>
      </c>
      <c r="BR41" s="64">
        <v>21</v>
      </c>
      <c r="BS41" s="38" t="s">
        <v>141</v>
      </c>
      <c r="BU41" s="52"/>
      <c r="BY41" s="4"/>
      <c r="BZ41" s="148"/>
      <c r="CA41" s="148"/>
      <c r="CB41" s="68"/>
      <c r="CC41" s="4"/>
      <c r="CD41" s="115"/>
      <c r="CE41" s="115"/>
      <c r="CF41" s="115"/>
      <c r="CG41" s="115"/>
      <c r="CH41" s="115"/>
      <c r="CI41" s="115"/>
      <c r="CJ41" s="115"/>
      <c r="CK41" s="4"/>
      <c r="CM41" s="50"/>
      <c r="CN41" s="59">
        <v>20</v>
      </c>
      <c r="CO41" s="34" t="s">
        <v>140</v>
      </c>
      <c r="CQ41" s="65">
        <v>31</v>
      </c>
      <c r="CR41" s="37" t="s">
        <v>140</v>
      </c>
      <c r="CT41" s="52"/>
      <c r="CU41" s="52"/>
      <c r="CX41" s="50"/>
      <c r="CY41" s="59">
        <v>15</v>
      </c>
      <c r="CZ41" s="34" t="s">
        <v>140</v>
      </c>
      <c r="DB41" s="65">
        <v>22</v>
      </c>
      <c r="DC41" s="37" t="s">
        <v>140</v>
      </c>
      <c r="DE41" s="52"/>
      <c r="DH41" s="59">
        <v>28</v>
      </c>
      <c r="DI41" s="34" t="s">
        <v>140</v>
      </c>
      <c r="DK41" s="65">
        <v>34</v>
      </c>
      <c r="DL41" s="37" t="s">
        <v>140</v>
      </c>
    </row>
    <row r="42" spans="3:141" ht="15" x14ac:dyDescent="0.2">
      <c r="C42" s="240"/>
      <c r="D42" s="377" t="s">
        <v>255</v>
      </c>
      <c r="E42" s="377"/>
      <c r="F42" s="460"/>
      <c r="G42" s="460"/>
      <c r="H42" s="460"/>
      <c r="I42" s="460"/>
      <c r="J42" s="460"/>
      <c r="K42" s="460"/>
      <c r="L42" s="460"/>
      <c r="M42" s="460"/>
      <c r="N42" s="460"/>
      <c r="O42" s="221"/>
      <c r="P42" s="278"/>
      <c r="Y42" s="173" t="s">
        <v>269</v>
      </c>
      <c r="Z42" s="170"/>
      <c r="AA42" s="165"/>
      <c r="AO42" s="143" t="e">
        <f>IF(AND(BF47=BF48,BF48=BF49),"CENTRAL","")</f>
        <v>#DIV/0!</v>
      </c>
      <c r="AP42" s="143"/>
      <c r="AQ42" s="143"/>
      <c r="AR42" s="143"/>
      <c r="AU42" s="35"/>
      <c r="AV42" s="35"/>
      <c r="AX42" s="38"/>
      <c r="AY42" s="38"/>
      <c r="BC42" s="55"/>
      <c r="BD42" s="56"/>
      <c r="BE42" s="56"/>
      <c r="BF42" s="56"/>
      <c r="BG42" s="56"/>
      <c r="BH42" s="56"/>
      <c r="BI42" s="56"/>
      <c r="BJ42" s="56"/>
      <c r="BK42" s="57"/>
      <c r="BN42" s="55"/>
      <c r="BO42" s="61">
        <v>17</v>
      </c>
      <c r="BP42" s="35" t="s">
        <v>141</v>
      </c>
      <c r="BQ42" s="56"/>
      <c r="BR42" s="62"/>
      <c r="BS42" s="62"/>
      <c r="BT42" s="56"/>
      <c r="BU42" s="57"/>
      <c r="BY42" s="4"/>
      <c r="BZ42" s="148"/>
      <c r="CA42" s="148"/>
      <c r="CB42" s="68"/>
      <c r="CC42" s="4"/>
      <c r="CD42" s="115"/>
      <c r="CE42" s="115"/>
      <c r="CF42" s="115"/>
      <c r="CG42" s="115"/>
      <c r="CH42" s="115"/>
      <c r="CI42" s="115"/>
      <c r="CJ42" s="115"/>
      <c r="CK42" s="4"/>
      <c r="CM42" s="50"/>
      <c r="CN42" s="60">
        <v>25</v>
      </c>
      <c r="CO42" s="35" t="s">
        <v>141</v>
      </c>
      <c r="CQ42" s="64">
        <v>36</v>
      </c>
      <c r="CR42" s="38" t="s">
        <v>141</v>
      </c>
      <c r="CT42" s="52"/>
      <c r="CU42" s="52"/>
      <c r="CX42" s="50"/>
      <c r="CY42" s="60">
        <v>24</v>
      </c>
      <c r="CZ42" s="35" t="s">
        <v>141</v>
      </c>
      <c r="DB42" s="64">
        <v>30</v>
      </c>
      <c r="DC42" s="38" t="s">
        <v>141</v>
      </c>
      <c r="DE42" s="52"/>
      <c r="DH42" s="60">
        <v>38</v>
      </c>
      <c r="DI42" s="35" t="s">
        <v>141</v>
      </c>
      <c r="DK42" s="64">
        <v>43</v>
      </c>
      <c r="DL42" s="38" t="s">
        <v>141</v>
      </c>
    </row>
    <row r="43" spans="3:141" ht="15" x14ac:dyDescent="0.2">
      <c r="C43" s="240"/>
      <c r="D43" s="377" t="s">
        <v>14</v>
      </c>
      <c r="E43" s="377"/>
      <c r="F43" s="460"/>
      <c r="G43" s="460"/>
      <c r="H43" s="460"/>
      <c r="I43" s="460"/>
      <c r="J43" s="460"/>
      <c r="K43" s="460"/>
      <c r="L43" s="460"/>
      <c r="M43" s="460"/>
      <c r="N43" s="460"/>
      <c r="O43" s="221"/>
      <c r="P43" s="278"/>
      <c r="Y43" s="174" t="e">
        <f>((4.95/Y41)-4.5)*100</f>
        <v>#NUM!</v>
      </c>
      <c r="Z43" s="1"/>
      <c r="AA43" s="168"/>
      <c r="AU43" s="124" t="s">
        <v>66</v>
      </c>
      <c r="AV43" s="124"/>
      <c r="AX43" s="125" t="s">
        <v>131</v>
      </c>
      <c r="AY43" s="125"/>
      <c r="BR43" s="125" t="s">
        <v>66</v>
      </c>
      <c r="BS43" s="125"/>
      <c r="BY43" s="4"/>
      <c r="BZ43" s="115"/>
      <c r="CA43" s="115"/>
      <c r="CB43" s="68"/>
      <c r="CC43" s="4"/>
      <c r="CD43" s="115"/>
      <c r="CE43" s="115"/>
      <c r="CF43" s="115"/>
      <c r="CG43" s="115"/>
      <c r="CH43" s="115"/>
      <c r="CI43" s="115"/>
      <c r="CJ43" s="115"/>
      <c r="CK43" s="4"/>
      <c r="CM43" s="50"/>
      <c r="CN43" s="124" t="s">
        <v>131</v>
      </c>
      <c r="CO43" s="124"/>
      <c r="CQ43" s="125" t="s">
        <v>130</v>
      </c>
      <c r="CR43" s="125"/>
      <c r="CT43" s="52"/>
      <c r="CU43" s="52"/>
      <c r="CX43" s="50"/>
      <c r="CY43" s="124" t="s">
        <v>131</v>
      </c>
      <c r="CZ43" s="124"/>
      <c r="DB43" s="125" t="s">
        <v>130</v>
      </c>
      <c r="DC43" s="125"/>
      <c r="DE43" s="52"/>
      <c r="DH43" s="124" t="s">
        <v>66</v>
      </c>
      <c r="DI43" s="124"/>
      <c r="DK43" s="125" t="s">
        <v>66</v>
      </c>
      <c r="DL43" s="125"/>
      <c r="EI43" s="426"/>
      <c r="EJ43" s="483"/>
      <c r="EK43" s="9"/>
    </row>
    <row r="44" spans="3:141" ht="15" x14ac:dyDescent="0.2">
      <c r="C44" s="240"/>
      <c r="D44" s="377" t="s">
        <v>13</v>
      </c>
      <c r="E44" s="377"/>
      <c r="F44" s="460"/>
      <c r="G44" s="460"/>
      <c r="H44" s="460"/>
      <c r="I44" s="460"/>
      <c r="J44" s="460"/>
      <c r="K44" s="460"/>
      <c r="L44" s="460"/>
      <c r="M44" s="460"/>
      <c r="N44" s="460"/>
      <c r="O44" s="221"/>
      <c r="P44" s="278"/>
      <c r="AU44" s="36">
        <v>0.01</v>
      </c>
      <c r="AV44" s="34" t="s">
        <v>126</v>
      </c>
      <c r="AX44" s="39">
        <v>0.01</v>
      </c>
      <c r="AY44" s="37" t="s">
        <v>126</v>
      </c>
      <c r="BR44" s="64">
        <v>1.01</v>
      </c>
      <c r="BS44" s="37" t="s">
        <v>144</v>
      </c>
      <c r="BY44" s="4"/>
      <c r="BZ44" s="115"/>
      <c r="CA44" s="115"/>
      <c r="CB44" s="68"/>
      <c r="CC44" s="4"/>
      <c r="CD44" s="115"/>
      <c r="CE44" s="115"/>
      <c r="CF44" s="115"/>
      <c r="CG44" s="115"/>
      <c r="CH44" s="115"/>
      <c r="CI44" s="115"/>
      <c r="CJ44" s="115"/>
      <c r="CK44" s="4"/>
      <c r="CM44" s="50"/>
      <c r="CN44" s="59">
        <v>0</v>
      </c>
      <c r="CO44" s="34" t="s">
        <v>144</v>
      </c>
      <c r="CQ44" s="65">
        <v>0</v>
      </c>
      <c r="CR44" s="37" t="s">
        <v>144</v>
      </c>
      <c r="CT44" s="52"/>
      <c r="CU44" s="52"/>
      <c r="CX44" s="50"/>
      <c r="CY44" s="59">
        <v>0</v>
      </c>
      <c r="CZ44" s="34" t="s">
        <v>144</v>
      </c>
      <c r="DB44" s="65">
        <v>0</v>
      </c>
      <c r="DC44" s="37" t="s">
        <v>144</v>
      </c>
      <c r="DE44" s="52"/>
      <c r="DH44" s="59">
        <v>0</v>
      </c>
      <c r="DI44" s="34" t="s">
        <v>196</v>
      </c>
      <c r="DK44" s="65">
        <v>0</v>
      </c>
      <c r="DL44" s="37" t="s">
        <v>196</v>
      </c>
    </row>
    <row r="45" spans="3:141" ht="15" x14ac:dyDescent="0.2">
      <c r="C45" s="241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  <c r="AU45" s="36">
        <v>0.76</v>
      </c>
      <c r="AV45" s="34" t="s">
        <v>127</v>
      </c>
      <c r="AX45" s="41">
        <v>0.9</v>
      </c>
      <c r="AY45" s="37" t="s">
        <v>127</v>
      </c>
      <c r="BE45" t="s">
        <v>158</v>
      </c>
      <c r="BH45" t="e">
        <f>('Avaliação Física 6'!DV15+'Avaliação Física 6'!DV16+'Avaliação Física 6'!DV19)*170.18/BH61</f>
        <v>#DIV/0!</v>
      </c>
      <c r="BR45" s="64">
        <v>5</v>
      </c>
      <c r="BS45" s="37" t="s">
        <v>143</v>
      </c>
      <c r="CM45" s="50"/>
      <c r="CN45" s="59">
        <v>3</v>
      </c>
      <c r="CO45" s="34" t="s">
        <v>143</v>
      </c>
      <c r="CQ45" s="65">
        <v>17</v>
      </c>
      <c r="CR45" s="37" t="s">
        <v>143</v>
      </c>
      <c r="CT45" s="52"/>
      <c r="CU45" s="52"/>
      <c r="CX45" s="50"/>
      <c r="CY45" s="59">
        <v>2</v>
      </c>
      <c r="CZ45" s="34" t="s">
        <v>143</v>
      </c>
      <c r="DB45" s="65">
        <v>10</v>
      </c>
      <c r="DC45" s="37" t="s">
        <v>143</v>
      </c>
      <c r="DE45" s="52"/>
      <c r="DH45" s="59">
        <v>13</v>
      </c>
      <c r="DI45" s="34" t="s">
        <v>144</v>
      </c>
      <c r="DK45" s="65">
        <v>16</v>
      </c>
      <c r="DL45" s="37" t="s">
        <v>144</v>
      </c>
    </row>
    <row r="46" spans="3:141" ht="15" x14ac:dyDescent="0.2"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U46" s="36">
        <v>0.84</v>
      </c>
      <c r="AV46" s="34" t="s">
        <v>128</v>
      </c>
      <c r="AX46" s="39">
        <v>0.97</v>
      </c>
      <c r="AY46" s="37" t="s">
        <v>128</v>
      </c>
      <c r="BD46" s="79"/>
      <c r="BE46" s="79" t="s">
        <v>187</v>
      </c>
      <c r="BF46" s="79"/>
      <c r="BR46" s="64">
        <v>8</v>
      </c>
      <c r="BS46" s="37" t="s">
        <v>142</v>
      </c>
      <c r="CM46" s="50"/>
      <c r="CN46" s="59">
        <v>5</v>
      </c>
      <c r="CO46" s="34" t="s">
        <v>142</v>
      </c>
      <c r="CQ46" s="65">
        <v>22</v>
      </c>
      <c r="CR46" s="37" t="s">
        <v>142</v>
      </c>
      <c r="CT46" s="52"/>
      <c r="CU46" s="52"/>
      <c r="CX46" s="50"/>
      <c r="CY46" s="59">
        <v>7</v>
      </c>
      <c r="CZ46" s="34" t="s">
        <v>142</v>
      </c>
      <c r="DB46" s="65">
        <v>13</v>
      </c>
      <c r="DC46" s="37" t="s">
        <v>142</v>
      </c>
      <c r="DE46" s="52"/>
      <c r="DH46" s="59">
        <v>18</v>
      </c>
      <c r="DI46" s="34" t="s">
        <v>143</v>
      </c>
      <c r="DK46" s="65">
        <v>23</v>
      </c>
      <c r="DL46" s="37" t="s">
        <v>143</v>
      </c>
    </row>
    <row r="47" spans="3:141" ht="15" x14ac:dyDescent="0.2">
      <c r="C47" s="362" t="s">
        <v>228</v>
      </c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T47">
        <f>J72*100</f>
        <v>0</v>
      </c>
      <c r="Y47" s="273" t="s">
        <v>386</v>
      </c>
      <c r="Z47" s="27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U47" s="36">
        <v>0.91</v>
      </c>
      <c r="AV47" s="34" t="s">
        <v>129</v>
      </c>
      <c r="AX47" s="39">
        <v>1.03</v>
      </c>
      <c r="AY47" s="37" t="s">
        <v>129</v>
      </c>
      <c r="BD47" s="121" t="s">
        <v>157</v>
      </c>
      <c r="BE47" s="121"/>
      <c r="BF47" s="80" t="e">
        <f>-0.7182+0.1451*(BH45)-0.00068*(BH45)+0.0000014*(BH45)</f>
        <v>#DIV/0!</v>
      </c>
      <c r="BR47" s="64">
        <v>11</v>
      </c>
      <c r="BS47" s="37" t="s">
        <v>140</v>
      </c>
      <c r="CM47" s="50"/>
      <c r="CN47" s="59">
        <v>12</v>
      </c>
      <c r="CO47" s="34" t="s">
        <v>140</v>
      </c>
      <c r="CQ47" s="65">
        <v>26</v>
      </c>
      <c r="CR47" s="37" t="s">
        <v>140</v>
      </c>
      <c r="CT47" s="52"/>
      <c r="CU47" s="52"/>
      <c r="CX47" s="50"/>
      <c r="CY47" s="59">
        <v>11</v>
      </c>
      <c r="CZ47" s="34" t="s">
        <v>140</v>
      </c>
      <c r="DB47" s="65">
        <v>17</v>
      </c>
      <c r="DC47" s="37" t="s">
        <v>140</v>
      </c>
      <c r="DE47" s="52"/>
      <c r="DH47" s="59">
        <v>24</v>
      </c>
      <c r="DI47" s="34" t="s">
        <v>140</v>
      </c>
      <c r="DK47" s="65">
        <v>31</v>
      </c>
      <c r="DL47" s="37" t="s">
        <v>140</v>
      </c>
    </row>
    <row r="48" spans="3:141" ht="15" x14ac:dyDescent="0.2">
      <c r="C48" s="284"/>
      <c r="D48" s="285"/>
      <c r="E48" s="285"/>
      <c r="F48" s="286"/>
      <c r="G48" s="276"/>
      <c r="H48" s="276"/>
      <c r="I48" s="276"/>
      <c r="J48" s="276"/>
      <c r="K48" s="276"/>
      <c r="L48" s="287"/>
      <c r="M48" s="288"/>
      <c r="N48" s="288"/>
      <c r="O48" s="289"/>
      <c r="P48" s="290"/>
      <c r="Y48" s="267" t="e">
        <f>IF(L9="Feminino",1.0346585-0.00063129*(J78+N78+J79+N79)+0.00000187*(J78+N78+J79+N79)^2-0.000311*(N9)-0.0004889*(F72)+0.00051345*(T47),1.10726863-0.00081201*(F77+F78+J79+N79)+0.00000212*(F77+F78+J79+N79)^2*0.00041761*(N9))</f>
        <v>#VALUE!</v>
      </c>
      <c r="Z48" s="268"/>
      <c r="AB48" s="5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X48" s="38"/>
      <c r="AY48" s="38"/>
      <c r="BD48" s="121" t="s">
        <v>156</v>
      </c>
      <c r="BE48" s="121"/>
      <c r="BF48" s="81">
        <f>0.858*(AJ30)+0.601*(AJ32)+0.188*(BK48)+0.161*(BK49)-0.131*(BH61)+4.5</f>
        <v>4.5</v>
      </c>
      <c r="BJ48" s="310" t="s">
        <v>159</v>
      </c>
      <c r="BK48">
        <f>BK50-(BK52/10)</f>
        <v>0</v>
      </c>
      <c r="BR48" s="64">
        <v>18</v>
      </c>
      <c r="BS48" s="38" t="s">
        <v>141</v>
      </c>
      <c r="CM48" s="50"/>
      <c r="CN48" s="60">
        <v>19</v>
      </c>
      <c r="CO48" s="35" t="s">
        <v>141</v>
      </c>
      <c r="CQ48" s="64">
        <v>36</v>
      </c>
      <c r="CR48" s="38" t="s">
        <v>141</v>
      </c>
      <c r="CT48" s="52"/>
      <c r="CU48" s="52"/>
      <c r="CX48" s="50"/>
      <c r="CY48" s="60">
        <v>21</v>
      </c>
      <c r="CZ48" s="35" t="s">
        <v>141</v>
      </c>
      <c r="DB48" s="64">
        <v>22</v>
      </c>
      <c r="DC48" s="38" t="s">
        <v>141</v>
      </c>
      <c r="DE48" s="52"/>
      <c r="DH48" s="60">
        <v>35</v>
      </c>
      <c r="DI48" s="35" t="s">
        <v>141</v>
      </c>
      <c r="DK48" s="64">
        <v>41</v>
      </c>
      <c r="DL48" s="38" t="s">
        <v>141</v>
      </c>
    </row>
    <row r="49" spans="3:116" ht="15" customHeight="1" x14ac:dyDescent="0.2">
      <c r="C49" s="291"/>
      <c r="D49" s="436" t="s">
        <v>191</v>
      </c>
      <c r="E49" s="436"/>
      <c r="F49" s="436"/>
      <c r="G49" s="436"/>
      <c r="H49" s="436"/>
      <c r="I49" s="436"/>
      <c r="J49" s="436"/>
      <c r="K49" s="436"/>
      <c r="L49" s="312"/>
      <c r="M49" s="259"/>
      <c r="N49" s="259"/>
      <c r="O49" s="256"/>
      <c r="P49" s="292"/>
      <c r="Y49" s="267"/>
      <c r="Z49" s="268"/>
      <c r="AB49" s="5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X49" s="125" t="s">
        <v>66</v>
      </c>
      <c r="AY49" s="125"/>
      <c r="BD49" s="121" t="s">
        <v>155</v>
      </c>
      <c r="BE49" s="121"/>
      <c r="BF49" s="81" t="e">
        <f>IF(BK56&gt;40.75,BK66,BK67)</f>
        <v>#DIV/0!</v>
      </c>
      <c r="BJ49" s="310" t="s">
        <v>160</v>
      </c>
      <c r="BK49">
        <f>BK51-(BK53/10)</f>
        <v>0</v>
      </c>
      <c r="CM49" s="50"/>
      <c r="CQ49" s="125" t="s">
        <v>131</v>
      </c>
      <c r="CR49" s="125"/>
      <c r="CT49" s="52"/>
      <c r="CU49" s="52"/>
      <c r="CX49" s="50"/>
      <c r="DB49" s="125" t="s">
        <v>131</v>
      </c>
      <c r="DC49" s="125"/>
      <c r="DE49" s="52"/>
    </row>
    <row r="50" spans="3:116" ht="15" customHeight="1" x14ac:dyDescent="0.2">
      <c r="C50" s="291"/>
      <c r="D50" s="436"/>
      <c r="E50" s="436"/>
      <c r="F50" s="436"/>
      <c r="G50" s="436"/>
      <c r="H50" s="436"/>
      <c r="I50" s="436"/>
      <c r="J50" s="436"/>
      <c r="K50" s="436"/>
      <c r="L50" s="312"/>
      <c r="M50" s="259"/>
      <c r="N50" s="259"/>
      <c r="O50" s="256"/>
      <c r="P50" s="292"/>
      <c r="Y50" s="272" t="s">
        <v>371</v>
      </c>
      <c r="Z50" s="275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X50" s="41">
        <v>0.01</v>
      </c>
      <c r="AY50" s="37" t="s">
        <v>126</v>
      </c>
      <c r="BD50" s="79"/>
      <c r="BE50" s="79"/>
      <c r="BF50" s="79"/>
      <c r="BJ50" s="310" t="s">
        <v>161</v>
      </c>
      <c r="BK50">
        <f>'Avaliação Física 6'!AJ16</f>
        <v>0</v>
      </c>
      <c r="CM50" s="50"/>
      <c r="CN50" s="124" t="s">
        <v>66</v>
      </c>
      <c r="CO50" s="124"/>
      <c r="CQ50" s="65">
        <v>0</v>
      </c>
      <c r="CR50" s="37" t="s">
        <v>144</v>
      </c>
      <c r="CT50" s="52"/>
      <c r="CU50" s="52"/>
      <c r="CX50" s="50"/>
      <c r="CY50" s="124" t="s">
        <v>66</v>
      </c>
      <c r="CZ50" s="124"/>
      <c r="DB50" s="65">
        <v>0</v>
      </c>
      <c r="DC50" s="37" t="s">
        <v>144</v>
      </c>
      <c r="DE50" s="52"/>
      <c r="DH50" s="126"/>
      <c r="DI50" s="126"/>
      <c r="DK50" s="126"/>
      <c r="DL50" s="126"/>
    </row>
    <row r="51" spans="3:116" ht="4.9000000000000004" customHeight="1" x14ac:dyDescent="0.2">
      <c r="C51" s="291"/>
      <c r="D51" s="293"/>
      <c r="E51" s="293"/>
      <c r="F51" s="294"/>
      <c r="G51" s="221"/>
      <c r="H51" s="221"/>
      <c r="I51" s="221"/>
      <c r="J51" s="221"/>
      <c r="K51" s="221"/>
      <c r="L51" s="312"/>
      <c r="M51" s="259"/>
      <c r="N51" s="259"/>
      <c r="O51" s="256"/>
      <c r="P51" s="292"/>
      <c r="Y51" s="267"/>
      <c r="Z51" s="268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X51" s="39">
        <v>0.91</v>
      </c>
      <c r="AY51" s="37" t="s">
        <v>127</v>
      </c>
      <c r="BJ51" s="310" t="s">
        <v>162</v>
      </c>
      <c r="BK51">
        <f>AJ18</f>
        <v>0</v>
      </c>
      <c r="CM51" s="50"/>
      <c r="CN51" s="60">
        <v>0</v>
      </c>
      <c r="CO51" s="34" t="s">
        <v>144</v>
      </c>
      <c r="CQ51" s="65">
        <v>13</v>
      </c>
      <c r="CR51" s="37" t="s">
        <v>143</v>
      </c>
      <c r="CT51" s="52"/>
      <c r="CU51" s="52"/>
      <c r="CX51" s="50"/>
      <c r="CY51" s="60">
        <v>0</v>
      </c>
      <c r="CZ51" s="34" t="s">
        <v>144</v>
      </c>
      <c r="DB51" s="65">
        <v>7</v>
      </c>
      <c r="DC51" s="37" t="s">
        <v>143</v>
      </c>
      <c r="DE51" s="52"/>
      <c r="DH51" s="86"/>
      <c r="DK51" s="86"/>
    </row>
    <row r="52" spans="3:116" ht="15" x14ac:dyDescent="0.2">
      <c r="C52" s="291"/>
      <c r="D52" s="437" t="s">
        <v>360</v>
      </c>
      <c r="E52" s="437"/>
      <c r="F52" s="437"/>
      <c r="G52" s="437"/>
      <c r="H52" s="437"/>
      <c r="I52" s="437"/>
      <c r="J52" s="437"/>
      <c r="K52" s="221"/>
      <c r="L52" s="312"/>
      <c r="M52" s="259"/>
      <c r="N52" s="259"/>
      <c r="O52" s="256"/>
      <c r="P52" s="292"/>
      <c r="Y52" s="269" t="e">
        <f>((4.95/Y48)-4.5)*100</f>
        <v>#VALUE!</v>
      </c>
      <c r="Z52" s="268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X52" s="39">
        <v>0.99</v>
      </c>
      <c r="AY52" s="37" t="s">
        <v>128</v>
      </c>
      <c r="BJ52" s="310" t="s">
        <v>163</v>
      </c>
      <c r="BK52">
        <f>'Avaliação Física 6'!DV16</f>
        <v>0</v>
      </c>
      <c r="CM52" s="50"/>
      <c r="CN52" s="60">
        <v>2</v>
      </c>
      <c r="CO52" s="34" t="s">
        <v>143</v>
      </c>
      <c r="CQ52" s="65">
        <v>18</v>
      </c>
      <c r="CR52" s="37" t="s">
        <v>142</v>
      </c>
      <c r="CT52" s="52"/>
      <c r="CU52" s="52"/>
      <c r="CX52" s="50"/>
      <c r="CY52" s="60">
        <v>1</v>
      </c>
      <c r="CZ52" s="34" t="s">
        <v>143</v>
      </c>
      <c r="DB52" s="65">
        <v>10</v>
      </c>
      <c r="DC52" s="37" t="s">
        <v>142</v>
      </c>
      <c r="DE52" s="52"/>
      <c r="DH52" s="86"/>
      <c r="DK52" s="86"/>
    </row>
    <row r="53" spans="3:116" ht="4.1500000000000004" customHeight="1" x14ac:dyDescent="0.2">
      <c r="C53" s="291"/>
      <c r="D53" s="293"/>
      <c r="E53" s="293"/>
      <c r="F53" s="293"/>
      <c r="G53" s="293"/>
      <c r="H53" s="293"/>
      <c r="I53" s="293"/>
      <c r="J53" s="293"/>
      <c r="K53" s="221"/>
      <c r="L53" s="312"/>
      <c r="M53" s="259"/>
      <c r="N53" s="259"/>
      <c r="O53" s="256"/>
      <c r="P53" s="292"/>
      <c r="Y53" s="270"/>
      <c r="Z53" s="271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X53" s="39">
        <v>1.04</v>
      </c>
      <c r="AY53" s="37" t="s">
        <v>129</v>
      </c>
      <c r="BJ53" s="310" t="s">
        <v>164</v>
      </c>
      <c r="BK53">
        <f>'Avaliação Física 6'!DV21</f>
        <v>0</v>
      </c>
      <c r="CM53" s="50"/>
      <c r="CN53" s="60">
        <v>4</v>
      </c>
      <c r="CO53" s="34" t="s">
        <v>142</v>
      </c>
      <c r="CQ53" s="65">
        <v>22</v>
      </c>
      <c r="CR53" s="37" t="s">
        <v>140</v>
      </c>
      <c r="CT53" s="52"/>
      <c r="CU53" s="52"/>
      <c r="CX53" s="50"/>
      <c r="CY53" s="60">
        <v>5</v>
      </c>
      <c r="CZ53" s="34" t="s">
        <v>142</v>
      </c>
      <c r="DB53" s="65">
        <v>13</v>
      </c>
      <c r="DC53" s="37" t="s">
        <v>140</v>
      </c>
      <c r="DE53" s="52"/>
      <c r="DH53" s="86"/>
      <c r="DK53" s="86"/>
    </row>
    <row r="54" spans="3:116" ht="14.25" customHeight="1" x14ac:dyDescent="0.2">
      <c r="C54" s="291"/>
      <c r="D54" s="437" t="s">
        <v>9</v>
      </c>
      <c r="E54" s="437"/>
      <c r="F54" s="437"/>
      <c r="G54" s="437"/>
      <c r="H54" s="437"/>
      <c r="I54" s="437"/>
      <c r="J54" s="437"/>
      <c r="K54" s="221"/>
      <c r="L54" s="312"/>
      <c r="M54" s="259"/>
      <c r="N54" s="259"/>
      <c r="O54" s="256"/>
      <c r="P54" s="292"/>
      <c r="T54" s="21" t="e">
        <f>(X68+X78+S78)/3</f>
        <v>#VALUE!</v>
      </c>
      <c r="X54" s="102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BB54" s="121" t="s">
        <v>185</v>
      </c>
      <c r="BC54" s="121"/>
      <c r="BD54" s="121"/>
      <c r="CM54" s="50"/>
      <c r="CN54" s="60">
        <v>12</v>
      </c>
      <c r="CO54" s="34" t="s">
        <v>140</v>
      </c>
      <c r="CQ54" s="64">
        <v>31</v>
      </c>
      <c r="CR54" s="38" t="s">
        <v>141</v>
      </c>
      <c r="CT54" s="52"/>
      <c r="CU54" s="52"/>
      <c r="CX54" s="50"/>
      <c r="CY54" s="60">
        <v>12</v>
      </c>
      <c r="CZ54" s="34" t="s">
        <v>140</v>
      </c>
      <c r="DB54" s="64">
        <v>21</v>
      </c>
      <c r="DC54" s="38" t="s">
        <v>141</v>
      </c>
      <c r="DE54" s="52"/>
      <c r="DH54" s="86"/>
      <c r="DK54" s="86"/>
    </row>
    <row r="55" spans="3:116" ht="4.9000000000000004" customHeight="1" x14ac:dyDescent="0.2">
      <c r="C55" s="291"/>
      <c r="D55" s="293"/>
      <c r="E55" s="293"/>
      <c r="F55" s="294"/>
      <c r="G55" s="221"/>
      <c r="H55" s="221"/>
      <c r="I55" s="221"/>
      <c r="J55" s="221"/>
      <c r="K55" s="221"/>
      <c r="L55" s="312"/>
      <c r="M55" s="259"/>
      <c r="N55" s="259"/>
      <c r="O55" s="256"/>
      <c r="P55" s="29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BB55" s="79"/>
      <c r="BC55" s="79"/>
      <c r="BD55" s="79"/>
      <c r="BO55" s="126" t="s">
        <v>155</v>
      </c>
      <c r="BP55" s="126"/>
      <c r="BQ55" t="e">
        <f>IF(BK56&gt;0.01,HLOOKUP(BK56,BN66:BO68,3,TRUE))</f>
        <v>#DIV/0!</v>
      </c>
      <c r="CM55" s="55"/>
      <c r="CN55" s="61">
        <v>16</v>
      </c>
      <c r="CO55" s="35" t="s">
        <v>141</v>
      </c>
      <c r="CP55" s="56"/>
      <c r="CQ55" s="62"/>
      <c r="CR55" s="62"/>
      <c r="CS55" s="56"/>
      <c r="CT55" s="57"/>
      <c r="CU55" s="57"/>
      <c r="CX55" s="55"/>
      <c r="CY55" s="61">
        <v>17</v>
      </c>
      <c r="CZ55" s="35" t="s">
        <v>141</v>
      </c>
      <c r="DA55" s="56"/>
      <c r="DB55" s="62"/>
      <c r="DC55" s="62"/>
      <c r="DD55" s="56"/>
      <c r="DE55" s="57"/>
      <c r="DH55" s="86"/>
      <c r="DK55" s="86"/>
    </row>
    <row r="56" spans="3:116" ht="15" customHeight="1" x14ac:dyDescent="0.2">
      <c r="C56" s="291"/>
      <c r="D56" s="437" t="s">
        <v>10</v>
      </c>
      <c r="E56" s="437"/>
      <c r="F56" s="437"/>
      <c r="G56" s="437"/>
      <c r="H56" s="437"/>
      <c r="I56" s="437"/>
      <c r="J56" s="437"/>
      <c r="K56" s="221"/>
      <c r="L56" s="312"/>
      <c r="M56" s="259"/>
      <c r="N56" s="259"/>
      <c r="O56" s="256"/>
      <c r="P56" s="292"/>
      <c r="BB56" s="121" t="s">
        <v>186</v>
      </c>
      <c r="BC56" s="121"/>
      <c r="BD56" s="121"/>
      <c r="BI56" s="126" t="s">
        <v>165</v>
      </c>
      <c r="BJ56" s="126"/>
      <c r="BK56" t="e">
        <f>BH61/BK58</f>
        <v>#DIV/0!</v>
      </c>
      <c r="CQ56" s="125" t="s">
        <v>66</v>
      </c>
      <c r="CR56" s="125"/>
      <c r="DB56" s="125" t="s">
        <v>66</v>
      </c>
      <c r="DC56" s="125"/>
    </row>
    <row r="57" spans="3:116" ht="4.9000000000000004" customHeight="1" x14ac:dyDescent="0.2">
      <c r="C57" s="291"/>
      <c r="D57" s="293"/>
      <c r="E57" s="293"/>
      <c r="F57" s="294"/>
      <c r="G57" s="221"/>
      <c r="H57" s="221"/>
      <c r="I57" s="221"/>
      <c r="J57" s="221"/>
      <c r="K57" s="221"/>
      <c r="L57" s="312"/>
      <c r="M57" s="259"/>
      <c r="N57" s="259"/>
      <c r="O57" s="256"/>
      <c r="P57" s="292"/>
      <c r="BB57" s="79"/>
      <c r="BC57" s="79"/>
      <c r="BD57" s="79"/>
      <c r="CQ57" s="64">
        <v>0</v>
      </c>
      <c r="CR57" s="37" t="s">
        <v>144</v>
      </c>
      <c r="DB57" s="64">
        <v>0</v>
      </c>
      <c r="DC57" s="37" t="s">
        <v>144</v>
      </c>
    </row>
    <row r="58" spans="3:116" ht="15" x14ac:dyDescent="0.2">
      <c r="C58" s="291"/>
      <c r="D58" s="436" t="s">
        <v>192</v>
      </c>
      <c r="E58" s="436"/>
      <c r="F58" s="436"/>
      <c r="G58" s="436"/>
      <c r="H58" s="436"/>
      <c r="I58" s="436"/>
      <c r="J58" s="436"/>
      <c r="K58" s="221"/>
      <c r="L58" s="312"/>
      <c r="M58" s="259"/>
      <c r="N58" s="259"/>
      <c r="O58" s="256"/>
      <c r="P58" s="292"/>
      <c r="V58" s="177" t="e">
        <f ca="1">(IF(E75="Faulkner",AB88,"-"),IF(E75="Jackson e Pollock 7 dobras",AB89,"-"),IF(E75="Jackson e Pollock 3 dobras",AB90,"-"),IF(E75="Guedes 3 dobras",AB91,"-"))</f>
        <v>#VALUE!</v>
      </c>
      <c r="BB58" s="79"/>
      <c r="BC58" s="79"/>
      <c r="BD58" s="79"/>
      <c r="BI58" t="s">
        <v>166</v>
      </c>
      <c r="BK58">
        <f>AP9^(1/3)</f>
        <v>0</v>
      </c>
      <c r="CQ58" s="64">
        <v>7</v>
      </c>
      <c r="CR58" s="37" t="s">
        <v>143</v>
      </c>
      <c r="DB58" s="64">
        <v>5</v>
      </c>
      <c r="DC58" s="37" t="s">
        <v>143</v>
      </c>
    </row>
    <row r="59" spans="3:116" ht="15" customHeight="1" x14ac:dyDescent="0.2">
      <c r="C59" s="291"/>
      <c r="D59" s="436"/>
      <c r="E59" s="436"/>
      <c r="F59" s="436"/>
      <c r="G59" s="436"/>
      <c r="H59" s="436"/>
      <c r="I59" s="436"/>
      <c r="J59" s="436"/>
      <c r="K59" s="221"/>
      <c r="L59" s="312"/>
      <c r="M59" s="259"/>
      <c r="N59" s="259"/>
      <c r="O59" s="256"/>
      <c r="P59" s="292"/>
      <c r="Y59" s="163" t="s">
        <v>262</v>
      </c>
      <c r="Z59" s="3"/>
      <c r="AA59" s="3"/>
      <c r="AB59" s="164"/>
      <c r="CQ59" s="64">
        <v>12</v>
      </c>
      <c r="CR59" s="37" t="s">
        <v>142</v>
      </c>
      <c r="DB59" s="64">
        <v>8</v>
      </c>
      <c r="DC59" s="37" t="s">
        <v>142</v>
      </c>
    </row>
    <row r="60" spans="3:116" ht="4.9000000000000004" customHeight="1" x14ac:dyDescent="0.2">
      <c r="C60" s="291"/>
      <c r="D60" s="293"/>
      <c r="E60" s="293"/>
      <c r="F60" s="294"/>
      <c r="G60" s="221"/>
      <c r="H60" s="221"/>
      <c r="I60" s="221"/>
      <c r="J60" s="221"/>
      <c r="K60" s="221"/>
      <c r="L60" s="312"/>
      <c r="M60" s="259"/>
      <c r="N60" s="259"/>
      <c r="O60" s="256"/>
      <c r="P60" s="292"/>
      <c r="Y60" s="2"/>
      <c r="Z60" s="106"/>
      <c r="AA60" s="106"/>
      <c r="AB60" s="165"/>
      <c r="CQ60" s="64">
        <v>11</v>
      </c>
      <c r="CR60" s="37" t="s">
        <v>140</v>
      </c>
      <c r="DB60" s="64">
        <v>11</v>
      </c>
      <c r="DC60" s="37" t="s">
        <v>140</v>
      </c>
    </row>
    <row r="61" spans="3:116" ht="15" customHeight="1" x14ac:dyDescent="0.2">
      <c r="C61" s="291"/>
      <c r="D61" s="436" t="s">
        <v>193</v>
      </c>
      <c r="E61" s="436"/>
      <c r="F61" s="436"/>
      <c r="G61" s="436"/>
      <c r="H61" s="436"/>
      <c r="I61" s="436"/>
      <c r="J61" s="436"/>
      <c r="K61" s="221"/>
      <c r="L61" s="312"/>
      <c r="M61" s="259"/>
      <c r="N61" s="259"/>
      <c r="O61" s="256"/>
      <c r="P61" s="292"/>
      <c r="Y61" s="2">
        <f>J77+N77+N78</f>
        <v>0</v>
      </c>
      <c r="Z61" s="106"/>
      <c r="AA61" s="106"/>
      <c r="AB61" s="165"/>
      <c r="BG61" s="75" t="s">
        <v>167</v>
      </c>
      <c r="BH61" s="73">
        <f>AP10*100</f>
        <v>0</v>
      </c>
      <c r="BK61" t="e">
        <f ca="1">IF(BK56&gt;40.75,(BK56*0.732)-28.58),IF(BK56&lt;=40.74,(BK56*0.463)-17.63),IF(BK56&lt;=38.25,0.1)</f>
        <v>#DIV/0!</v>
      </c>
      <c r="CQ61" s="64">
        <v>26</v>
      </c>
      <c r="CR61" s="38" t="s">
        <v>141</v>
      </c>
      <c r="DB61" s="64">
        <v>18</v>
      </c>
      <c r="DC61" s="38" t="s">
        <v>141</v>
      </c>
    </row>
    <row r="62" spans="3:116" ht="15" x14ac:dyDescent="0.2">
      <c r="C62" s="291"/>
      <c r="D62" s="436"/>
      <c r="E62" s="436"/>
      <c r="F62" s="436"/>
      <c r="G62" s="436"/>
      <c r="H62" s="436"/>
      <c r="I62" s="436"/>
      <c r="J62" s="436"/>
      <c r="K62" s="221"/>
      <c r="L62" s="312"/>
      <c r="M62" s="259"/>
      <c r="N62" s="259"/>
      <c r="O62" s="256"/>
      <c r="P62" s="292"/>
      <c r="V62" s="21" t="e">
        <f ca="1">IF(E75="Faulkner",S78,"-"),IF(E75="Jackson e Pollock 7 dobras",EL26,"-"),IF(E75="Jackson e Pollock 3 dobras",X78,"-")</f>
        <v>#VALUE!</v>
      </c>
      <c r="Y62" s="2"/>
      <c r="Z62" s="106"/>
      <c r="AA62" s="106"/>
      <c r="AB62" s="165"/>
      <c r="BC62" s="126"/>
      <c r="BD62" s="126"/>
      <c r="BE62" s="126"/>
    </row>
    <row r="63" spans="3:116" ht="4.9000000000000004" customHeight="1" x14ac:dyDescent="0.2">
      <c r="C63" s="291"/>
      <c r="D63" s="293"/>
      <c r="E63" s="293"/>
      <c r="F63" s="294"/>
      <c r="G63" s="221"/>
      <c r="H63" s="221"/>
      <c r="I63" s="221"/>
      <c r="J63" s="221"/>
      <c r="K63" s="221"/>
      <c r="L63" s="312"/>
      <c r="M63" s="259"/>
      <c r="N63" s="259"/>
      <c r="O63" s="256"/>
      <c r="P63" s="292"/>
      <c r="Y63" s="2"/>
      <c r="Z63" s="106"/>
      <c r="AA63" s="106"/>
      <c r="AB63" s="165"/>
      <c r="BC63" s="126"/>
      <c r="BD63" s="126"/>
      <c r="BE63" s="126"/>
    </row>
    <row r="64" spans="3:116" ht="15" x14ac:dyDescent="0.2">
      <c r="C64" s="291"/>
      <c r="D64" s="437" t="s">
        <v>11</v>
      </c>
      <c r="E64" s="437"/>
      <c r="F64" s="437"/>
      <c r="G64" s="437"/>
      <c r="H64" s="437"/>
      <c r="I64" s="437"/>
      <c r="J64" s="437"/>
      <c r="K64" s="221"/>
      <c r="L64" s="312"/>
      <c r="M64" s="259"/>
      <c r="N64" s="259"/>
      <c r="O64" s="256"/>
      <c r="P64" s="292"/>
      <c r="Y64" s="2" t="s">
        <v>261</v>
      </c>
      <c r="Z64" s="106"/>
      <c r="AA64" s="106"/>
      <c r="AB64" s="165"/>
      <c r="BB64">
        <v>3</v>
      </c>
      <c r="BC64" s="126" t="s">
        <v>174</v>
      </c>
      <c r="BD64" s="126"/>
      <c r="BE64" s="126"/>
    </row>
    <row r="65" spans="3:69" ht="15" x14ac:dyDescent="0.2">
      <c r="C65" s="295"/>
      <c r="D65" s="296"/>
      <c r="E65" s="296"/>
      <c r="F65" s="297"/>
      <c r="G65" s="279"/>
      <c r="H65" s="279"/>
      <c r="I65" s="279"/>
      <c r="J65" s="279"/>
      <c r="K65" s="279"/>
      <c r="L65" s="298"/>
      <c r="M65" s="299"/>
      <c r="N65" s="299"/>
      <c r="O65" s="298"/>
      <c r="P65" s="300"/>
      <c r="Y65" s="166">
        <f>F78+J79+N78</f>
        <v>0</v>
      </c>
      <c r="Z65" s="1"/>
      <c r="AA65" s="1"/>
      <c r="AB65" s="168"/>
      <c r="BC65" s="126"/>
      <c r="BD65" s="126"/>
      <c r="BE65" s="126"/>
      <c r="BI65" s="127" t="s">
        <v>171</v>
      </c>
      <c r="BJ65" s="127"/>
      <c r="BK65" s="127"/>
      <c r="BM65" s="127" t="s">
        <v>171</v>
      </c>
      <c r="BN65" s="127"/>
      <c r="BO65" s="127"/>
    </row>
    <row r="66" spans="3:69" ht="15" hidden="1" x14ac:dyDescent="0.2">
      <c r="BC66" s="126"/>
      <c r="BD66" s="126"/>
      <c r="BE66" s="126"/>
      <c r="BI66" s="71"/>
      <c r="BJ66" s="71" t="s">
        <v>168</v>
      </c>
      <c r="BK66" s="74" t="e">
        <f>(BK56*0.732)-28.58</f>
        <v>#DIV/0!</v>
      </c>
      <c r="BM66" s="71"/>
      <c r="BN66" s="77">
        <v>40.76</v>
      </c>
      <c r="BO66" s="74" t="e">
        <f>BK66</f>
        <v>#DIV/0!</v>
      </c>
    </row>
    <row r="67" spans="3:69" ht="15" x14ac:dyDescent="0.2">
      <c r="C67" s="362" t="s">
        <v>203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S67" t="s">
        <v>375</v>
      </c>
      <c r="BC67" s="126"/>
      <c r="BD67" s="126"/>
      <c r="BE67" s="126"/>
      <c r="BI67" s="128" t="s">
        <v>169</v>
      </c>
      <c r="BJ67" s="128"/>
      <c r="BK67" s="74" t="e">
        <f>(BK56*0.463)-17.63</f>
        <v>#DIV/0!</v>
      </c>
      <c r="BM67" s="76"/>
      <c r="BN67" s="78">
        <v>38.26</v>
      </c>
      <c r="BO67" s="74" t="e">
        <f>BK67</f>
        <v>#DIV/0!</v>
      </c>
    </row>
    <row r="68" spans="3:69" ht="15" x14ac:dyDescent="0.2">
      <c r="C68" s="238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7"/>
      <c r="S68" t="s">
        <v>385</v>
      </c>
      <c r="W68" s="310" t="s">
        <v>40</v>
      </c>
      <c r="X68" s="178" t="str">
        <f>IF(E75="Faulkner",S78,"-")</f>
        <v>-</v>
      </c>
      <c r="Z68" s="32"/>
      <c r="AB68" s="21"/>
      <c r="AD68" s="21"/>
      <c r="BC68" s="126"/>
      <c r="BD68" s="126"/>
      <c r="BE68" s="126"/>
      <c r="BI68" s="71"/>
      <c r="BJ68" s="71" t="s">
        <v>170</v>
      </c>
      <c r="BK68" s="71">
        <v>0.1</v>
      </c>
      <c r="BM68" s="71"/>
      <c r="BN68" s="77">
        <v>1</v>
      </c>
      <c r="BO68" s="74">
        <f>BK68</f>
        <v>0.1</v>
      </c>
    </row>
    <row r="69" spans="3:69" ht="15" x14ac:dyDescent="0.2">
      <c r="C69" s="240"/>
      <c r="D69" s="221"/>
      <c r="E69" s="221"/>
      <c r="F69" s="306" t="s">
        <v>92</v>
      </c>
      <c r="G69" s="221"/>
      <c r="H69" s="306" t="s">
        <v>93</v>
      </c>
      <c r="I69" s="221"/>
      <c r="J69" s="221"/>
      <c r="K69" s="221"/>
      <c r="L69" s="221"/>
      <c r="M69" s="221"/>
      <c r="N69" s="221"/>
      <c r="O69" s="221"/>
      <c r="P69" s="278"/>
      <c r="S69" t="s">
        <v>258</v>
      </c>
      <c r="BC69" s="126"/>
      <c r="BD69" s="126"/>
      <c r="BE69" s="126"/>
    </row>
    <row r="70" spans="3:69" ht="15" x14ac:dyDescent="0.2">
      <c r="C70" s="240"/>
      <c r="D70" s="307" t="s">
        <v>12</v>
      </c>
      <c r="E70" s="307"/>
      <c r="F70" s="313"/>
      <c r="G70" s="221"/>
      <c r="H70" s="313"/>
      <c r="I70" s="221"/>
      <c r="J70" s="377" t="s">
        <v>91</v>
      </c>
      <c r="K70" s="377"/>
      <c r="L70" s="249"/>
      <c r="M70" s="221"/>
      <c r="N70" s="221"/>
      <c r="O70" s="221"/>
      <c r="P70" s="278"/>
      <c r="S70" t="s">
        <v>265</v>
      </c>
      <c r="BB70">
        <v>9</v>
      </c>
      <c r="BC70" s="126" t="s">
        <v>180</v>
      </c>
      <c r="BD70" s="126"/>
      <c r="BE70" s="126"/>
    </row>
    <row r="71" spans="3:69" ht="15" x14ac:dyDescent="0.2">
      <c r="C71" s="240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78"/>
      <c r="S71" t="s">
        <v>373</v>
      </c>
      <c r="W71" s="163"/>
      <c r="X71" s="169" t="s">
        <v>260</v>
      </c>
      <c r="Y71" s="169"/>
      <c r="Z71" s="169"/>
      <c r="AA71" s="171"/>
      <c r="BC71" s="126"/>
      <c r="BD71" s="126"/>
      <c r="BE71" s="126"/>
      <c r="BQ71" s="79" t="s">
        <v>138</v>
      </c>
    </row>
    <row r="72" spans="3:69" ht="15" x14ac:dyDescent="0.2">
      <c r="C72" s="240"/>
      <c r="D72" s="377" t="s">
        <v>118</v>
      </c>
      <c r="E72" s="377"/>
      <c r="F72" s="264"/>
      <c r="G72" s="221"/>
      <c r="H72" s="377" t="s">
        <v>17</v>
      </c>
      <c r="I72" s="377"/>
      <c r="J72" s="250"/>
      <c r="K72" s="377" t="s">
        <v>277</v>
      </c>
      <c r="L72" s="377"/>
      <c r="M72" s="377"/>
      <c r="N72" s="258" t="str">
        <f>IF(J72="","-",66+(13.8*F72)+(5*U102)-(6.8*N9))</f>
        <v>-</v>
      </c>
      <c r="O72" s="221"/>
      <c r="P72" s="278"/>
      <c r="S72" t="s">
        <v>372</v>
      </c>
      <c r="W72" s="2"/>
      <c r="X72" s="106" t="e">
        <f>IF(EJ4=0,SUM(1.0994921-(0.0009929*Y65)+(0.0000023*(Y65*Y65))-(0.0001392*N9)),SUM((1.10938-(0.0008267*Y61)+(0.0000016*(Y61*Y61))-(0.0002574*N9))))</f>
        <v>#VALUE!</v>
      </c>
      <c r="Y72" s="106"/>
      <c r="Z72" s="106"/>
      <c r="AA72" s="165"/>
      <c r="BC72" s="126"/>
      <c r="BD72" s="126"/>
      <c r="BE72" s="126"/>
      <c r="BQ72" s="79">
        <v>6</v>
      </c>
    </row>
    <row r="73" spans="3:69" ht="15" x14ac:dyDescent="0.2">
      <c r="C73" s="240"/>
      <c r="D73" s="307"/>
      <c r="E73" s="307"/>
      <c r="F73" s="312"/>
      <c r="G73" s="256"/>
      <c r="H73" s="312"/>
      <c r="I73" s="221"/>
      <c r="J73" s="221"/>
      <c r="K73" s="221"/>
      <c r="L73" s="221"/>
      <c r="M73" s="221"/>
      <c r="N73" s="221"/>
      <c r="O73" s="221"/>
      <c r="P73" s="278"/>
      <c r="S73" t="s">
        <v>387</v>
      </c>
      <c r="W73" s="2"/>
      <c r="X73" s="106"/>
      <c r="Y73" s="106"/>
      <c r="Z73" s="106"/>
      <c r="AA73" s="165"/>
      <c r="BC73" s="126"/>
      <c r="BD73" s="126"/>
      <c r="BE73" s="126"/>
    </row>
    <row r="74" spans="3:69" ht="15" x14ac:dyDescent="0.2">
      <c r="C74" s="240"/>
      <c r="D74" s="493" t="s">
        <v>256</v>
      </c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78"/>
      <c r="S74" t="s">
        <v>374</v>
      </c>
      <c r="W74" s="2"/>
      <c r="X74" s="106"/>
      <c r="Y74" s="106"/>
      <c r="Z74" s="106"/>
      <c r="AA74" s="165"/>
      <c r="BC74" s="126"/>
      <c r="BD74" s="126"/>
      <c r="BE74" s="126"/>
    </row>
    <row r="75" spans="3:69" ht="15" x14ac:dyDescent="0.2">
      <c r="C75" s="240"/>
      <c r="D75" s="493"/>
      <c r="E75" s="383"/>
      <c r="F75" s="384"/>
      <c r="G75" s="384"/>
      <c r="H75" s="384"/>
      <c r="I75" s="384"/>
      <c r="J75" s="385"/>
      <c r="K75" s="221"/>
      <c r="L75" s="221"/>
      <c r="M75" s="221"/>
      <c r="N75" s="221"/>
      <c r="O75" s="221"/>
      <c r="P75" s="278"/>
      <c r="S75" t="s">
        <v>376</v>
      </c>
      <c r="W75" s="2"/>
      <c r="X75" s="106"/>
      <c r="Y75" s="106"/>
      <c r="Z75" s="106"/>
      <c r="AA75" s="165"/>
      <c r="BC75" s="126"/>
      <c r="BD75" s="126"/>
      <c r="BE75" s="126"/>
    </row>
    <row r="76" spans="3:69" ht="15" x14ac:dyDescent="0.2">
      <c r="C76" s="240"/>
      <c r="D76" s="376" t="s">
        <v>116</v>
      </c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221"/>
      <c r="P76" s="278"/>
      <c r="W76" s="2"/>
      <c r="X76" s="106"/>
      <c r="Y76" s="106"/>
      <c r="Z76" s="106"/>
      <c r="AA76" s="165"/>
      <c r="BC76" s="126"/>
      <c r="BD76" s="126"/>
      <c r="BE76" s="126"/>
      <c r="BL76" t="e">
        <f>VLOOKUP(BQ72,BB62:BE76,2,FALSE)</f>
        <v>#N/A</v>
      </c>
    </row>
    <row r="77" spans="3:69" ht="15" x14ac:dyDescent="0.2">
      <c r="C77" s="240"/>
      <c r="D77" s="377" t="s">
        <v>18</v>
      </c>
      <c r="E77" s="377"/>
      <c r="F77" s="313"/>
      <c r="G77" s="221"/>
      <c r="H77" s="377" t="s">
        <v>20</v>
      </c>
      <c r="I77" s="377"/>
      <c r="J77" s="313"/>
      <c r="K77" s="221"/>
      <c r="L77" s="377" t="s">
        <v>22</v>
      </c>
      <c r="M77" s="377"/>
      <c r="N77" s="313"/>
      <c r="O77" s="221"/>
      <c r="P77" s="278"/>
      <c r="S77" s="175" t="s">
        <v>259</v>
      </c>
      <c r="W77" s="2"/>
      <c r="X77" s="170" t="s">
        <v>266</v>
      </c>
      <c r="Y77" s="170"/>
      <c r="Z77" s="106"/>
      <c r="AA77" s="165"/>
    </row>
    <row r="78" spans="3:69" ht="15" x14ac:dyDescent="0.2">
      <c r="C78" s="240"/>
      <c r="D78" s="377" t="s">
        <v>19</v>
      </c>
      <c r="E78" s="377"/>
      <c r="F78" s="313"/>
      <c r="G78" s="221"/>
      <c r="H78" s="377" t="s">
        <v>21</v>
      </c>
      <c r="I78" s="377"/>
      <c r="J78" s="313"/>
      <c r="K78" s="221"/>
      <c r="L78" s="377" t="s">
        <v>23</v>
      </c>
      <c r="M78" s="377"/>
      <c r="N78" s="313"/>
      <c r="O78" s="221"/>
      <c r="P78" s="278"/>
      <c r="S78" s="176">
        <f>(F78+F77+J79+N77)*0.153+5.783</f>
        <v>5.7830000000000004</v>
      </c>
      <c r="W78" s="166"/>
      <c r="X78" s="167" t="e">
        <f>((4.95/X72)-4.5)*100</f>
        <v>#VALUE!</v>
      </c>
      <c r="Y78" s="1"/>
      <c r="Z78" s="1"/>
      <c r="AA78" s="168"/>
    </row>
    <row r="79" spans="3:69" ht="15" x14ac:dyDescent="0.2">
      <c r="C79" s="240"/>
      <c r="D79" s="377" t="s">
        <v>368</v>
      </c>
      <c r="E79" s="377"/>
      <c r="F79" s="313"/>
      <c r="G79" s="221"/>
      <c r="H79" s="377" t="s">
        <v>43</v>
      </c>
      <c r="I79" s="377"/>
      <c r="J79" s="313"/>
      <c r="K79" s="221"/>
      <c r="L79" s="377" t="s">
        <v>367</v>
      </c>
      <c r="M79" s="377"/>
      <c r="N79" s="313"/>
      <c r="O79" s="221"/>
      <c r="P79" s="278"/>
    </row>
    <row r="80" spans="3:69" ht="15" x14ac:dyDescent="0.2">
      <c r="C80" s="240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78"/>
      <c r="W80" s="426" t="s">
        <v>375</v>
      </c>
      <c r="X80" s="426"/>
      <c r="Y80" s="21" t="e">
        <f>IF(L9="Feminino",1.2*J101+0.23*N9-10.8*0-5.4,1.2*J101+0.23*N9-10.8*1-5.4)</f>
        <v>#VALUE!</v>
      </c>
    </row>
    <row r="81" spans="3:61" ht="15" x14ac:dyDescent="0.2">
      <c r="C81" s="240"/>
      <c r="D81" s="221"/>
      <c r="E81" s="221"/>
      <c r="F81" s="221"/>
      <c r="G81" s="221"/>
      <c r="H81" s="221"/>
      <c r="I81" s="221"/>
      <c r="J81" s="221"/>
      <c r="K81" s="221"/>
      <c r="L81" s="377" t="s">
        <v>24</v>
      </c>
      <c r="M81" s="377"/>
      <c r="N81" s="257">
        <f>'Avaliação Física 6'!DV23+N79+F79</f>
        <v>0</v>
      </c>
      <c r="O81" s="221"/>
      <c r="P81" s="278"/>
      <c r="W81" s="426" t="s">
        <v>376</v>
      </c>
      <c r="X81" s="426"/>
      <c r="Y81" s="21">
        <f>IF(L9="feminino",0.11077*F87-0.17666*U102+0.187*F72+51.03301,0.31457*F87-0.10969*F72+10.8336)</f>
        <v>10.833600000000001</v>
      </c>
    </row>
    <row r="82" spans="3:61" ht="15" x14ac:dyDescent="0.2">
      <c r="C82" s="240"/>
      <c r="D82" s="486" t="s">
        <v>117</v>
      </c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221"/>
      <c r="P82" s="278"/>
    </row>
    <row r="83" spans="3:61" ht="15" x14ac:dyDescent="0.2">
      <c r="C83" s="240"/>
      <c r="D83" s="221"/>
      <c r="E83" s="221"/>
      <c r="F83" s="221"/>
      <c r="G83" s="221"/>
      <c r="H83" s="221"/>
      <c r="I83" s="221"/>
      <c r="J83" s="306" t="s">
        <v>57</v>
      </c>
      <c r="K83" s="306"/>
      <c r="L83" s="306" t="s">
        <v>58</v>
      </c>
      <c r="M83" s="221"/>
      <c r="N83" s="221"/>
      <c r="O83" s="221"/>
      <c r="P83" s="278"/>
      <c r="S83" t="s">
        <v>257</v>
      </c>
    </row>
    <row r="84" spans="3:61" ht="15" x14ac:dyDescent="0.2">
      <c r="C84" s="240"/>
      <c r="D84" s="377" t="s">
        <v>226</v>
      </c>
      <c r="E84" s="377"/>
      <c r="F84" s="313"/>
      <c r="G84" s="221"/>
      <c r="H84" s="377" t="s">
        <v>207</v>
      </c>
      <c r="I84" s="377"/>
      <c r="J84" s="313"/>
      <c r="K84" s="221"/>
      <c r="L84" s="313"/>
      <c r="M84" s="221"/>
      <c r="N84" s="221"/>
      <c r="O84" s="221"/>
      <c r="P84" s="278"/>
    </row>
    <row r="85" spans="3:61" ht="15" x14ac:dyDescent="0.2">
      <c r="C85" s="240"/>
      <c r="D85" s="377" t="s">
        <v>227</v>
      </c>
      <c r="E85" s="377"/>
      <c r="F85" s="313"/>
      <c r="G85" s="221"/>
      <c r="H85" s="377" t="s">
        <v>208</v>
      </c>
      <c r="I85" s="377"/>
      <c r="J85" s="313"/>
      <c r="K85" s="221"/>
      <c r="L85" s="313"/>
      <c r="M85" s="221"/>
      <c r="N85" s="221"/>
      <c r="O85" s="221"/>
      <c r="P85" s="278"/>
      <c r="S85">
        <f>J84-L84</f>
        <v>0</v>
      </c>
      <c r="AA85" t="e">
        <f>INDEX(E75,MATCH(AB:AB,X:AA,0))</f>
        <v>#N/A</v>
      </c>
    </row>
    <row r="86" spans="3:61" ht="15" x14ac:dyDescent="0.2">
      <c r="C86" s="240"/>
      <c r="D86" s="377" t="s">
        <v>205</v>
      </c>
      <c r="E86" s="377"/>
      <c r="F86" s="313"/>
      <c r="G86" s="221"/>
      <c r="H86" s="377" t="s">
        <v>209</v>
      </c>
      <c r="I86" s="377"/>
      <c r="J86" s="313"/>
      <c r="K86" s="221"/>
      <c r="L86" s="313"/>
      <c r="M86" s="221"/>
      <c r="N86" s="221"/>
      <c r="O86" s="221"/>
      <c r="P86" s="278"/>
      <c r="S86">
        <f>J85-L85</f>
        <v>0</v>
      </c>
      <c r="BG86" s="82">
        <v>3</v>
      </c>
      <c r="BH86" s="82">
        <v>2</v>
      </c>
      <c r="BI86" s="82">
        <v>2</v>
      </c>
    </row>
    <row r="87" spans="3:61" ht="15" x14ac:dyDescent="0.2">
      <c r="C87" s="240"/>
      <c r="D87" s="377" t="s">
        <v>377</v>
      </c>
      <c r="E87" s="377"/>
      <c r="F87" s="313"/>
      <c r="G87" s="221"/>
      <c r="H87" s="377" t="s">
        <v>210</v>
      </c>
      <c r="I87" s="377"/>
      <c r="J87" s="313"/>
      <c r="K87" s="221"/>
      <c r="L87" s="313"/>
      <c r="M87" s="221"/>
      <c r="N87" s="221"/>
      <c r="O87" s="221"/>
      <c r="P87" s="278"/>
      <c r="S87">
        <f>J86-L86</f>
        <v>0</v>
      </c>
    </row>
    <row r="88" spans="3:61" ht="15" x14ac:dyDescent="0.2">
      <c r="C88" s="240"/>
      <c r="D88" s="377" t="s">
        <v>206</v>
      </c>
      <c r="E88" s="377"/>
      <c r="F88" s="313"/>
      <c r="G88" s="221"/>
      <c r="H88" s="487"/>
      <c r="I88" s="487"/>
      <c r="J88" s="313"/>
      <c r="K88" s="221"/>
      <c r="L88" s="313"/>
      <c r="M88" s="221"/>
      <c r="N88" s="221"/>
      <c r="O88" s="221"/>
      <c r="P88" s="278"/>
      <c r="S88">
        <f>J87-L87</f>
        <v>0</v>
      </c>
      <c r="U88" s="6" t="s">
        <v>26</v>
      </c>
      <c r="V88" s="6" t="s">
        <v>27</v>
      </c>
      <c r="X88">
        <v>1</v>
      </c>
      <c r="Y88" s="426" t="s">
        <v>258</v>
      </c>
      <c r="Z88" s="426"/>
      <c r="AA88" s="426"/>
      <c r="AB88" s="21">
        <f>S78</f>
        <v>5.7830000000000004</v>
      </c>
    </row>
    <row r="89" spans="3:61" ht="15" x14ac:dyDescent="0.2">
      <c r="C89" s="240"/>
      <c r="D89" s="307"/>
      <c r="E89" s="307"/>
      <c r="F89" s="256"/>
      <c r="G89" s="256"/>
      <c r="H89" s="256"/>
      <c r="I89" s="256"/>
      <c r="J89" s="256"/>
      <c r="K89" s="256"/>
      <c r="L89" s="256"/>
      <c r="M89" s="221"/>
      <c r="N89" s="221"/>
      <c r="O89" s="221"/>
      <c r="P89" s="278"/>
      <c r="U89" s="7"/>
      <c r="V89" s="7"/>
      <c r="X89">
        <v>2</v>
      </c>
      <c r="Y89" s="426" t="s">
        <v>263</v>
      </c>
      <c r="Z89" s="426"/>
      <c r="AA89" s="426"/>
      <c r="AB89" s="21" t="e">
        <f>EL26</f>
        <v>#VALUE!</v>
      </c>
    </row>
    <row r="90" spans="3:61" ht="15" x14ac:dyDescent="0.2">
      <c r="C90" s="240"/>
      <c r="D90" s="261"/>
      <c r="E90" s="261"/>
      <c r="F90" s="283"/>
      <c r="G90" s="283"/>
      <c r="H90" s="473"/>
      <c r="I90" s="473"/>
      <c r="J90" s="312"/>
      <c r="K90" s="256"/>
      <c r="L90" s="312"/>
      <c r="M90" s="221"/>
      <c r="N90" s="221"/>
      <c r="O90" s="221"/>
      <c r="P90" s="278"/>
      <c r="R90" s="310" t="s">
        <v>388</v>
      </c>
      <c r="S90">
        <f>IF(S85&lt;0,-S85,S85)</f>
        <v>0</v>
      </c>
      <c r="U90" s="7"/>
      <c r="V90" s="7"/>
      <c r="X90">
        <v>3</v>
      </c>
      <c r="Y90" s="426" t="s">
        <v>264</v>
      </c>
      <c r="Z90" s="426"/>
      <c r="AA90" s="426"/>
      <c r="AB90" s="21" t="e">
        <f>X78</f>
        <v>#VALUE!</v>
      </c>
    </row>
    <row r="91" spans="3:61" ht="15" x14ac:dyDescent="0.2">
      <c r="C91" s="240"/>
      <c r="D91" s="307" t="s">
        <v>62</v>
      </c>
      <c r="E91" s="430" t="str">
        <f>IF(F88="","-",F86/F88)</f>
        <v>-</v>
      </c>
      <c r="F91" s="488"/>
      <c r="G91" s="221"/>
      <c r="H91" s="307" t="s">
        <v>27</v>
      </c>
      <c r="I91" s="446" t="str">
        <f>IF(F88="","-",'Avaliação Física 6'!AY18)</f>
        <v>-</v>
      </c>
      <c r="J91" s="431"/>
      <c r="K91" s="221"/>
      <c r="L91" s="221"/>
      <c r="M91" s="221"/>
      <c r="N91" s="221"/>
      <c r="O91" s="221"/>
      <c r="P91" s="278"/>
      <c r="R91" s="310" t="s">
        <v>389</v>
      </c>
      <c r="S91">
        <f t="shared" ref="S91:S93" si="1">IF(S86&lt;0,-S86,S86)</f>
        <v>0</v>
      </c>
      <c r="U91" s="7">
        <v>0</v>
      </c>
      <c r="V91" s="7" t="s">
        <v>28</v>
      </c>
      <c r="X91">
        <v>4</v>
      </c>
      <c r="Y91" s="426" t="s">
        <v>265</v>
      </c>
      <c r="Z91" s="426"/>
      <c r="AA91" s="426"/>
      <c r="AB91" s="21" t="e">
        <f>Y43</f>
        <v>#NUM!</v>
      </c>
    </row>
    <row r="92" spans="3:61" ht="15" x14ac:dyDescent="0.2">
      <c r="C92" s="240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78"/>
      <c r="R92" s="310" t="s">
        <v>390</v>
      </c>
      <c r="S92">
        <f t="shared" si="1"/>
        <v>0</v>
      </c>
      <c r="U92" s="7">
        <v>16.100000000000001</v>
      </c>
      <c r="V92" s="7" t="s">
        <v>29</v>
      </c>
      <c r="X92">
        <v>5</v>
      </c>
      <c r="Y92" s="477" t="s">
        <v>374</v>
      </c>
      <c r="Z92" s="477"/>
      <c r="AA92" s="477"/>
      <c r="AB92">
        <f>T120</f>
        <v>1</v>
      </c>
      <c r="BB92">
        <v>1</v>
      </c>
      <c r="BC92" s="126" t="s">
        <v>172</v>
      </c>
      <c r="BD92" s="126"/>
      <c r="BE92" s="126"/>
    </row>
    <row r="93" spans="3:61" ht="15" x14ac:dyDescent="0.2">
      <c r="C93" s="240"/>
      <c r="D93" s="486" t="s">
        <v>212</v>
      </c>
      <c r="E93" s="486"/>
      <c r="F93" s="486"/>
      <c r="G93" s="486"/>
      <c r="H93" s="486"/>
      <c r="I93" s="486"/>
      <c r="J93" s="486"/>
      <c r="K93" s="486"/>
      <c r="L93" s="486"/>
      <c r="M93" s="221"/>
      <c r="N93" s="221"/>
      <c r="O93" s="221"/>
      <c r="P93" s="278"/>
      <c r="R93" s="310" t="s">
        <v>391</v>
      </c>
      <c r="S93">
        <f t="shared" si="1"/>
        <v>0</v>
      </c>
      <c r="U93" s="7">
        <v>17</v>
      </c>
      <c r="V93" s="7" t="s">
        <v>30</v>
      </c>
      <c r="X93">
        <v>6</v>
      </c>
      <c r="Y93" s="426" t="s">
        <v>375</v>
      </c>
      <c r="Z93" s="426"/>
      <c r="AA93" s="426"/>
      <c r="AB93" s="21" t="e">
        <f>Y80</f>
        <v>#VALUE!</v>
      </c>
      <c r="BB93">
        <v>2</v>
      </c>
      <c r="BC93" s="126" t="s">
        <v>173</v>
      </c>
      <c r="BD93" s="126"/>
      <c r="BE93" s="126"/>
      <c r="BH93" s="308" t="str">
        <f>IF(AND(BG86&lt;BH86,BH86&lt;BI86),"ECTOMORFO-ENDOMORFO","")</f>
        <v/>
      </c>
    </row>
    <row r="94" spans="3:61" ht="15" x14ac:dyDescent="0.2">
      <c r="C94" s="240"/>
      <c r="D94" s="377" t="s">
        <v>151</v>
      </c>
      <c r="E94" s="377"/>
      <c r="F94" s="377"/>
      <c r="G94" s="472"/>
      <c r="H94" s="472"/>
      <c r="I94" s="221"/>
      <c r="J94" s="307" t="s">
        <v>154</v>
      </c>
      <c r="K94" s="472"/>
      <c r="L94" s="472"/>
      <c r="M94" s="221"/>
      <c r="N94" s="221"/>
      <c r="O94" s="221"/>
      <c r="P94" s="278"/>
      <c r="U94" s="7">
        <v>18.5</v>
      </c>
      <c r="V94" s="7" t="s">
        <v>31</v>
      </c>
      <c r="X94">
        <v>7</v>
      </c>
      <c r="Y94" s="426" t="s">
        <v>376</v>
      </c>
      <c r="Z94" s="426"/>
      <c r="AA94" s="426"/>
      <c r="AB94">
        <f>Y81</f>
        <v>10.833600000000001</v>
      </c>
      <c r="BB94">
        <v>3</v>
      </c>
      <c r="BC94" s="126" t="s">
        <v>174</v>
      </c>
      <c r="BD94" s="126"/>
      <c r="BE94" s="126"/>
    </row>
    <row r="95" spans="3:61" ht="15" x14ac:dyDescent="0.2">
      <c r="C95" s="240"/>
      <c r="D95" s="377" t="s">
        <v>242</v>
      </c>
      <c r="E95" s="377"/>
      <c r="F95" s="377"/>
      <c r="G95" s="472"/>
      <c r="H95" s="472"/>
      <c r="I95" s="221"/>
      <c r="J95" s="221"/>
      <c r="K95" s="221"/>
      <c r="L95" s="221"/>
      <c r="M95" s="221"/>
      <c r="N95" s="221"/>
      <c r="O95" s="221"/>
      <c r="P95" s="278"/>
      <c r="U95" s="7">
        <v>24.5</v>
      </c>
      <c r="V95" s="7" t="s">
        <v>32</v>
      </c>
      <c r="X95">
        <v>8</v>
      </c>
      <c r="Y95" s="426" t="s">
        <v>370</v>
      </c>
      <c r="Z95" s="426"/>
      <c r="AA95" s="426"/>
      <c r="AB95" s="21" t="e">
        <f>AA177</f>
        <v>#NUM!</v>
      </c>
      <c r="BB95">
        <v>4</v>
      </c>
      <c r="BC95" s="126" t="s">
        <v>175</v>
      </c>
      <c r="BD95" s="126"/>
      <c r="BE95" s="126"/>
      <c r="BH95" s="79" t="str">
        <f>IF(AND(BG86&gt;BH86,BH86=BI86),"Endomorfo","-")</f>
        <v>Endomorfo</v>
      </c>
    </row>
    <row r="96" spans="3:61" ht="15" x14ac:dyDescent="0.2">
      <c r="C96" s="240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78"/>
      <c r="S96" t="str">
        <f>L101</f>
        <v>(informe peso e altura)</v>
      </c>
      <c r="U96" s="7">
        <v>30</v>
      </c>
      <c r="V96" s="7" t="s">
        <v>33</v>
      </c>
      <c r="X96">
        <v>9</v>
      </c>
      <c r="Y96" s="426" t="s">
        <v>386</v>
      </c>
      <c r="Z96" s="426"/>
      <c r="AA96" s="426"/>
      <c r="AB96" s="21" t="e">
        <f>Y52</f>
        <v>#VALUE!</v>
      </c>
      <c r="BB96">
        <v>5</v>
      </c>
      <c r="BC96" s="126" t="s">
        <v>176</v>
      </c>
      <c r="BD96" s="126"/>
      <c r="BE96" s="126"/>
    </row>
    <row r="97" spans="3:61" ht="15" x14ac:dyDescent="0.2">
      <c r="C97" s="240"/>
      <c r="D97" s="486" t="s">
        <v>25</v>
      </c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221"/>
      <c r="P97" s="278"/>
      <c r="U97" s="7">
        <v>35</v>
      </c>
      <c r="V97" s="7" t="s">
        <v>34</v>
      </c>
      <c r="BB97">
        <v>6</v>
      </c>
      <c r="BC97" s="126" t="s">
        <v>177</v>
      </c>
      <c r="BD97" s="126"/>
      <c r="BE97" s="126"/>
    </row>
    <row r="98" spans="3:61" ht="15" x14ac:dyDescent="0.2">
      <c r="C98" s="240"/>
      <c r="D98" s="462" t="s">
        <v>120</v>
      </c>
      <c r="E98" s="462"/>
      <c r="F98" s="251" t="str">
        <f>IF(E75="","-",VLOOKUP($E$75,tbGC69121519[[nome]:[resultado]],2,FALSE))</f>
        <v>-</v>
      </c>
      <c r="G98" s="221"/>
      <c r="H98" s="462" t="s">
        <v>364</v>
      </c>
      <c r="I98" s="462"/>
      <c r="J98" s="252" t="str">
        <f>IF(F72="","-",IF(L9="feminino",F72*0.209,F72*0.241))</f>
        <v>-</v>
      </c>
      <c r="K98" s="221"/>
      <c r="L98" s="355" t="s">
        <v>366</v>
      </c>
      <c r="M98" s="355"/>
      <c r="N98" s="355"/>
      <c r="O98" s="221"/>
      <c r="P98" s="278"/>
      <c r="U98" s="7"/>
      <c r="V98" s="7"/>
      <c r="BB98">
        <v>7</v>
      </c>
      <c r="BC98" s="126" t="s">
        <v>178</v>
      </c>
      <c r="BD98" s="126"/>
      <c r="BE98" s="126"/>
      <c r="BI98" s="71"/>
    </row>
    <row r="99" spans="3:61" ht="15" x14ac:dyDescent="0.2">
      <c r="C99" s="240"/>
      <c r="D99" s="462" t="s">
        <v>361</v>
      </c>
      <c r="E99" s="462"/>
      <c r="F99" s="252" t="str">
        <f>IF(F72=0,"-",(F72-F100))</f>
        <v>-</v>
      </c>
      <c r="G99" s="221"/>
      <c r="H99" s="462" t="s">
        <v>365</v>
      </c>
      <c r="I99" s="462"/>
      <c r="J99" s="252" t="str">
        <f>IF(J72="","-",3.02*(J72^2*T113*T114*400)^0.712)</f>
        <v>-</v>
      </c>
      <c r="K99" s="221"/>
      <c r="L99" s="499" t="str">
        <f>IF(F98="-","-",AU258)</f>
        <v>-</v>
      </c>
      <c r="M99" s="500"/>
      <c r="N99" s="501"/>
      <c r="O99" s="221"/>
      <c r="P99" s="278"/>
      <c r="U99" s="7">
        <v>40</v>
      </c>
      <c r="V99" s="7" t="s">
        <v>35</v>
      </c>
      <c r="BB99">
        <v>8</v>
      </c>
      <c r="BC99" s="126" t="s">
        <v>179</v>
      </c>
      <c r="BD99" s="126"/>
      <c r="BE99" s="126"/>
    </row>
    <row r="100" spans="3:61" ht="15" x14ac:dyDescent="0.2">
      <c r="C100" s="359" t="s">
        <v>362</v>
      </c>
      <c r="D100" s="360"/>
      <c r="E100" s="361"/>
      <c r="F100" s="252" t="str">
        <f>IF(F72=0,"-",(F72-U107))</f>
        <v>-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78"/>
      <c r="U100" s="7"/>
      <c r="V100" s="7"/>
      <c r="BB100">
        <v>9</v>
      </c>
      <c r="BC100" s="126" t="s">
        <v>180</v>
      </c>
      <c r="BD100" s="126"/>
      <c r="BE100" s="126"/>
    </row>
    <row r="101" spans="3:61" ht="15" x14ac:dyDescent="0.2">
      <c r="C101" s="240"/>
      <c r="D101" s="462" t="s">
        <v>363</v>
      </c>
      <c r="E101" s="462"/>
      <c r="F101" s="252" t="str">
        <f>IF(F72="","-",F72-(F99+J98+J99))</f>
        <v>-</v>
      </c>
      <c r="G101" s="253"/>
      <c r="H101" s="462" t="s">
        <v>26</v>
      </c>
      <c r="I101" s="462"/>
      <c r="J101" s="254" t="str">
        <f>IF(J72="","-",'Avaliação Física 6'!DZ11)</f>
        <v>-</v>
      </c>
      <c r="K101" s="221"/>
      <c r="L101" s="461" t="str">
        <f>IF(J72&gt;0,VLOOKUP(J101,AUX_IMC_Classificação347101317[],2,TRUE),"(informe peso e altura)")</f>
        <v>(informe peso e altura)</v>
      </c>
      <c r="M101" s="461"/>
      <c r="N101" s="461"/>
      <c r="O101" s="221"/>
      <c r="P101" s="278"/>
      <c r="BB101">
        <v>10</v>
      </c>
      <c r="BC101" s="126" t="s">
        <v>181</v>
      </c>
      <c r="BD101" s="126"/>
      <c r="BE101" s="126"/>
    </row>
    <row r="102" spans="3:61" ht="15" x14ac:dyDescent="0.2">
      <c r="C102" s="240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78"/>
      <c r="T102" t="s">
        <v>276</v>
      </c>
      <c r="U102">
        <f>J72*100</f>
        <v>0</v>
      </c>
      <c r="BB102">
        <v>11</v>
      </c>
      <c r="BC102" s="126" t="s">
        <v>182</v>
      </c>
      <c r="BD102" s="126"/>
      <c r="BE102" s="126"/>
    </row>
    <row r="103" spans="3:61" ht="15" x14ac:dyDescent="0.2">
      <c r="C103" s="240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78"/>
      <c r="BB103">
        <v>12</v>
      </c>
      <c r="BC103" s="126" t="s">
        <v>183</v>
      </c>
      <c r="BD103" s="126"/>
      <c r="BE103" s="126"/>
    </row>
    <row r="104" spans="3:61" ht="15" x14ac:dyDescent="0.2">
      <c r="C104" s="240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78"/>
      <c r="BB104">
        <v>13</v>
      </c>
      <c r="BC104" s="126" t="s">
        <v>184</v>
      </c>
      <c r="BD104" s="126"/>
      <c r="BE104" s="126"/>
    </row>
    <row r="105" spans="3:61" ht="15" x14ac:dyDescent="0.2">
      <c r="C105" s="240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78"/>
    </row>
    <row r="106" spans="3:61" ht="15" x14ac:dyDescent="0.2">
      <c r="C106" s="240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78"/>
      <c r="X106" t="s">
        <v>271</v>
      </c>
      <c r="Y106" t="e">
        <f>1.17136-((LOG10(Y35))*0.06706)</f>
        <v>#NUM!</v>
      </c>
    </row>
    <row r="107" spans="3:61" ht="15" x14ac:dyDescent="0.2">
      <c r="C107" s="240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78"/>
      <c r="U107" s="179" t="e">
        <f>F72*F98%</f>
        <v>#VALUE!</v>
      </c>
    </row>
    <row r="108" spans="3:61" ht="15" x14ac:dyDescent="0.2">
      <c r="C108" s="240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78"/>
      <c r="X108" t="s">
        <v>272</v>
      </c>
      <c r="Y108" t="e">
        <f>1.1665-((LOG10(Y38))*0.07063)</f>
        <v>#NUM!</v>
      </c>
    </row>
    <row r="109" spans="3:61" ht="15" x14ac:dyDescent="0.2">
      <c r="C109" s="240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78"/>
    </row>
    <row r="110" spans="3:61" ht="15" x14ac:dyDescent="0.2">
      <c r="C110" s="240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78"/>
    </row>
    <row r="111" spans="3:61" ht="15" x14ac:dyDescent="0.2">
      <c r="C111" s="240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78"/>
    </row>
    <row r="112" spans="3:61" ht="15" x14ac:dyDescent="0.2">
      <c r="C112" s="240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78"/>
    </row>
    <row r="113" spans="3:28" ht="15" x14ac:dyDescent="0.2">
      <c r="C113" s="240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78"/>
      <c r="S113">
        <f>K94</f>
        <v>0</v>
      </c>
      <c r="T113">
        <f>S113/100</f>
        <v>0</v>
      </c>
    </row>
    <row r="114" spans="3:28" ht="15" x14ac:dyDescent="0.2">
      <c r="C114" s="241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80"/>
      <c r="S114">
        <f>G95</f>
        <v>0</v>
      </c>
      <c r="T114">
        <f>S114/100</f>
        <v>0</v>
      </c>
    </row>
    <row r="115" spans="3:28" ht="15" x14ac:dyDescent="0.2"/>
    <row r="116" spans="3:28" ht="15" x14ac:dyDescent="0.2">
      <c r="C116" s="362" t="s">
        <v>218</v>
      </c>
      <c r="D116" s="362"/>
      <c r="E116" s="362"/>
      <c r="F116" s="362"/>
      <c r="G116" s="362"/>
      <c r="H116" s="362"/>
      <c r="I116" s="362"/>
      <c r="J116" s="362" t="s">
        <v>253</v>
      </c>
      <c r="K116" s="362"/>
      <c r="L116" s="362"/>
      <c r="M116" s="362"/>
      <c r="N116" s="362"/>
      <c r="O116" s="362"/>
      <c r="P116" s="362"/>
      <c r="AB116" t="s">
        <v>240</v>
      </c>
    </row>
    <row r="117" spans="3:28" ht="4.9000000000000004" customHeight="1" x14ac:dyDescent="0.3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</row>
    <row r="118" spans="3:28" ht="15" x14ac:dyDescent="0.2">
      <c r="C118" s="238"/>
      <c r="D118" s="405" t="s">
        <v>220</v>
      </c>
      <c r="E118" s="405"/>
      <c r="F118" s="239" t="str">
        <f>IF(L84="","-",S90)</f>
        <v>-</v>
      </c>
      <c r="G118" s="463" t="str">
        <f>IF(F118&gt;=1.5,"Diferença significativa",IF(F118&lt;=-1.5,"Diferença significativa","Não Significativa"))</f>
        <v>Diferença significativa</v>
      </c>
      <c r="H118" s="464"/>
      <c r="I118" s="233"/>
      <c r="J118" s="358" t="s">
        <v>380</v>
      </c>
      <c r="K118" s="358"/>
      <c r="L118" s="358"/>
      <c r="M118" s="358"/>
      <c r="N118" s="358"/>
      <c r="O118" s="358"/>
      <c r="P118" s="221"/>
      <c r="W118" s="116">
        <v>3</v>
      </c>
      <c r="X118" s="117" t="s">
        <v>233</v>
      </c>
      <c r="Y118" s="118"/>
      <c r="Z118" s="118"/>
      <c r="AB118" s="21" t="e">
        <f>(J119*(170.18/(100*J72))-24.78)/4.31</f>
        <v>#DIV/0!</v>
      </c>
    </row>
    <row r="119" spans="3:28" ht="15" x14ac:dyDescent="0.2">
      <c r="C119" s="240"/>
      <c r="D119" s="406" t="s">
        <v>219</v>
      </c>
      <c r="E119" s="406"/>
      <c r="F119" s="234" t="str">
        <f>IF(L85="","-",S91)</f>
        <v>-</v>
      </c>
      <c r="G119" s="465" t="str">
        <f>IF(F119&gt;=1.5,"Diferença significativa",IF(F119&lt;=-1.5,"Diferença significativa","Não Significativa"))</f>
        <v>Diferença significativa</v>
      </c>
      <c r="H119" s="466"/>
      <c r="I119" s="233"/>
      <c r="J119" s="236">
        <f>J84-(3.1415*F78/10)</f>
        <v>0</v>
      </c>
      <c r="K119" s="235">
        <f t="shared" ref="K119:K121" si="2">IF(G119="Não significativa",0,1)</f>
        <v>1</v>
      </c>
      <c r="L119" s="469" t="str">
        <f>IF(J84=0,"-",IF(J84&gt;0,IF(AB118&gt;3,X118,IF(AB118&gt;2,X119,IF(AB118&gt;1,X120,IF(AB118&gt;-1,X121,IF(AB118&gt;-2,X122,IF(AB118&gt;-3,X123,IF(AB118&lt;-3,X124)))))))))</f>
        <v>-</v>
      </c>
      <c r="M119" s="470"/>
      <c r="N119" s="470"/>
      <c r="O119" s="471"/>
      <c r="P119" s="221"/>
      <c r="T119" s="497" t="s">
        <v>369</v>
      </c>
      <c r="U119" s="497"/>
      <c r="W119" s="116">
        <v>2</v>
      </c>
      <c r="X119" s="117" t="s">
        <v>234</v>
      </c>
      <c r="Y119" s="118"/>
      <c r="Z119" s="118"/>
    </row>
    <row r="120" spans="3:28" ht="15.75" x14ac:dyDescent="0.2">
      <c r="C120" s="240"/>
      <c r="D120" s="406" t="s">
        <v>221</v>
      </c>
      <c r="E120" s="406"/>
      <c r="F120" s="234" t="str">
        <f>IF(L86="","-",S92)</f>
        <v>-</v>
      </c>
      <c r="G120" s="465" t="str">
        <f>IF(F120&gt;=1.5,"Diferença significativa",IF(F120&lt;=-1.5,"Diferença significativa","Não Significativa"))</f>
        <v>Diferença significativa</v>
      </c>
      <c r="H120" s="466"/>
      <c r="I120" s="233"/>
      <c r="J120" s="360" t="s">
        <v>254</v>
      </c>
      <c r="K120" s="360"/>
      <c r="L120" s="360"/>
      <c r="M120" s="360"/>
      <c r="N120" s="360"/>
      <c r="O120" s="360"/>
      <c r="P120" s="360"/>
      <c r="T120">
        <f>IF(L9="Feminino",0.61*(F78+N79)+5.1,0.735*(F78+N79)+1)</f>
        <v>1</v>
      </c>
      <c r="W120" s="116">
        <v>1</v>
      </c>
      <c r="X120" s="117" t="s">
        <v>235</v>
      </c>
      <c r="Y120" s="118"/>
      <c r="Z120" s="118"/>
      <c r="AB120" t="s">
        <v>241</v>
      </c>
    </row>
    <row r="121" spans="3:28" ht="15" x14ac:dyDescent="0.2">
      <c r="C121" s="241"/>
      <c r="D121" s="407" t="s">
        <v>222</v>
      </c>
      <c r="E121" s="407"/>
      <c r="F121" s="242" t="str">
        <f>IF(L87="","-",S93)</f>
        <v>-</v>
      </c>
      <c r="G121" s="467" t="str">
        <f>IF(F121&gt;=1.5,"Diferença significativa",IF(F121&lt;=-1.5,"Diferença significativa","Não Significativa"))</f>
        <v>Diferença significativa</v>
      </c>
      <c r="H121" s="468"/>
      <c r="I121" s="233"/>
      <c r="J121" s="237">
        <f>0.649*((J86-3.1415*(N78/10))^2-(0.3-G95)^2)</f>
        <v>-5.8409999999999997E-2</v>
      </c>
      <c r="K121" s="235">
        <f t="shared" si="2"/>
        <v>1</v>
      </c>
      <c r="L121" s="423" t="str">
        <f>IF(J86=0,"-",IF(J86&gt;0,IF(AB121&gt;3,X118,IF(AB121&gt;2,X119,IF(AB121&gt;1,X120,IF(AB121&gt;-1,X121,IF(AB121&gt;-2,X122,IF(AB121&gt;-3,X123,IF(AB121&lt;-3,X124)))))))))</f>
        <v>-</v>
      </c>
      <c r="M121" s="424"/>
      <c r="N121" s="424"/>
      <c r="O121" s="425"/>
      <c r="P121" s="221"/>
      <c r="W121" s="116">
        <v>0</v>
      </c>
      <c r="X121" s="117" t="s">
        <v>236</v>
      </c>
      <c r="Y121" s="118"/>
      <c r="Z121" s="118"/>
      <c r="AB121" s="21" t="e">
        <f>(J121*(170.18/(100*J72))-1242.6)/210.9</f>
        <v>#DIV/0!</v>
      </c>
    </row>
    <row r="122" spans="3:28" ht="15" x14ac:dyDescent="0.2">
      <c r="W122" s="116">
        <v>-1</v>
      </c>
      <c r="X122" s="117" t="s">
        <v>237</v>
      </c>
      <c r="Y122" s="118"/>
      <c r="Z122" s="118"/>
    </row>
    <row r="123" spans="3:28" ht="14.45" hidden="1" customHeight="1" x14ac:dyDescent="0.2">
      <c r="C123" s="92"/>
      <c r="W123" s="116">
        <v>-2</v>
      </c>
      <c r="X123" s="117" t="s">
        <v>238</v>
      </c>
      <c r="Y123" s="118"/>
      <c r="Z123" s="118"/>
    </row>
    <row r="124" spans="3:28" ht="14.45" hidden="1" customHeight="1" x14ac:dyDescent="0.2">
      <c r="F124" s="314"/>
      <c r="H124" s="314"/>
      <c r="W124" s="116">
        <v>-3</v>
      </c>
      <c r="X124" s="117" t="s">
        <v>239</v>
      </c>
      <c r="Y124" s="118"/>
      <c r="Z124" s="118"/>
    </row>
    <row r="125" spans="3:28" ht="14.45" hidden="1" customHeight="1" x14ac:dyDescent="0.2">
      <c r="D125" s="426"/>
      <c r="E125" s="426"/>
      <c r="F125" s="314"/>
      <c r="H125" s="314"/>
      <c r="J125" s="426"/>
      <c r="K125" s="426"/>
      <c r="M125" s="457"/>
      <c r="N125" s="457"/>
      <c r="S125" s="314"/>
    </row>
    <row r="126" spans="3:28" ht="14.45" hidden="1" customHeight="1" x14ac:dyDescent="0.2">
      <c r="T126" s="426"/>
      <c r="U126" s="426"/>
      <c r="V126" s="426"/>
    </row>
    <row r="127" spans="3:28" ht="14.45" hidden="1" customHeight="1" x14ac:dyDescent="0.2"/>
    <row r="128" spans="3:28" ht="15" hidden="1" customHeight="1" x14ac:dyDescent="0.2">
      <c r="T128" s="310"/>
      <c r="U128" s="310"/>
      <c r="V128" s="310"/>
      <c r="W128" s="119"/>
      <c r="X128" s="119"/>
    </row>
    <row r="129" spans="19:24" ht="15" hidden="1" customHeight="1" x14ac:dyDescent="0.2">
      <c r="T129" s="310"/>
      <c r="U129" s="310"/>
      <c r="V129" s="310"/>
      <c r="W129" s="119"/>
      <c r="X129" s="119"/>
    </row>
    <row r="130" spans="19:24" ht="15" hidden="1" customHeight="1" x14ac:dyDescent="0.2">
      <c r="S130" s="314"/>
      <c r="T130" s="310"/>
      <c r="U130" s="310"/>
      <c r="V130" s="310"/>
      <c r="W130" s="119"/>
      <c r="X130" s="119"/>
    </row>
    <row r="131" spans="19:24" ht="14.45" hidden="1" customHeight="1" x14ac:dyDescent="0.2">
      <c r="T131" s="310"/>
      <c r="U131" s="310"/>
      <c r="V131" s="310"/>
      <c r="W131" s="119"/>
      <c r="X131" s="119"/>
    </row>
    <row r="132" spans="19:24" ht="14.45" hidden="1" customHeight="1" x14ac:dyDescent="0.2">
      <c r="T132" s="310"/>
      <c r="U132" s="310"/>
      <c r="V132" s="310"/>
      <c r="W132" s="119"/>
      <c r="X132" s="119"/>
    </row>
    <row r="133" spans="19:24" ht="14.45" hidden="1" customHeight="1" x14ac:dyDescent="0.2">
      <c r="T133" s="310"/>
      <c r="U133" s="310"/>
      <c r="V133" s="310"/>
      <c r="W133" s="119"/>
      <c r="X133" s="119"/>
    </row>
    <row r="134" spans="19:24" ht="14.45" hidden="1" customHeight="1" x14ac:dyDescent="0.2">
      <c r="S134" s="314"/>
      <c r="T134" s="310"/>
      <c r="U134" s="310"/>
      <c r="V134" s="310"/>
      <c r="W134" s="119"/>
      <c r="X134" s="119"/>
    </row>
    <row r="135" spans="19:24" ht="14.45" hidden="1" customHeight="1" x14ac:dyDescent="0.2">
      <c r="T135" s="310"/>
      <c r="U135" s="310"/>
      <c r="V135" s="310"/>
      <c r="W135" s="119"/>
      <c r="X135" s="119"/>
    </row>
    <row r="136" spans="19:24" ht="14.45" hidden="1" customHeight="1" x14ac:dyDescent="0.2">
      <c r="S136" s="73"/>
      <c r="T136" s="310"/>
      <c r="U136" s="310"/>
      <c r="V136" s="310"/>
      <c r="W136" s="119"/>
      <c r="X136" s="119"/>
    </row>
    <row r="137" spans="19:24" ht="15" hidden="1" customHeight="1" x14ac:dyDescent="0.2">
      <c r="T137" s="310"/>
      <c r="U137" s="310"/>
      <c r="V137" s="310"/>
      <c r="W137" s="119"/>
      <c r="X137" s="119"/>
    </row>
    <row r="138" spans="19:24" ht="15" hidden="1" x14ac:dyDescent="0.2">
      <c r="W138" s="120"/>
      <c r="X138" s="120"/>
    </row>
    <row r="139" spans="19:24" ht="15" hidden="1" x14ac:dyDescent="0.2"/>
    <row r="140" spans="19:24" ht="15" hidden="1" x14ac:dyDescent="0.2"/>
    <row r="141" spans="19:24" ht="15" hidden="1" x14ac:dyDescent="0.2"/>
    <row r="142" spans="19:24" ht="15" hidden="1" x14ac:dyDescent="0.2"/>
    <row r="143" spans="19:24" ht="15" hidden="1" x14ac:dyDescent="0.2"/>
    <row r="144" spans="19:24" ht="15" hidden="1" x14ac:dyDescent="0.2"/>
    <row r="145" spans="3:28" ht="15" hidden="1" x14ac:dyDescent="0.2"/>
    <row r="146" spans="3:28" ht="15" hidden="1" x14ac:dyDescent="0.2"/>
    <row r="147" spans="3:28" ht="6" hidden="1" customHeight="1" x14ac:dyDescent="0.2"/>
    <row r="148" spans="3:28" ht="14.45" customHeight="1" x14ac:dyDescent="0.3">
      <c r="C148" s="375" t="s">
        <v>211</v>
      </c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X148" s="314" t="s">
        <v>273</v>
      </c>
      <c r="Y148" s="126" t="s">
        <v>274</v>
      </c>
      <c r="Z148" t="s">
        <v>138</v>
      </c>
      <c r="AA148" s="126"/>
    </row>
    <row r="149" spans="3:28" ht="14.45" customHeight="1" x14ac:dyDescent="0.2">
      <c r="C149" s="240"/>
      <c r="D149" s="221"/>
      <c r="E149" s="221"/>
      <c r="F149" s="221"/>
      <c r="G149" s="221"/>
      <c r="H149" s="221"/>
      <c r="I149" s="278"/>
      <c r="J149" s="484" t="s">
        <v>252</v>
      </c>
      <c r="K149" s="485"/>
      <c r="L149" s="485"/>
      <c r="M149" s="485"/>
      <c r="N149" s="485"/>
      <c r="O149" s="485"/>
      <c r="P149" s="485"/>
      <c r="X149">
        <v>1</v>
      </c>
      <c r="Y149" s="126" t="s">
        <v>258</v>
      </c>
      <c r="Z149" s="21">
        <f t="shared" ref="Z149:Z156" si="3">AB88</f>
        <v>5.7830000000000004</v>
      </c>
      <c r="AA149" s="126"/>
    </row>
    <row r="150" spans="3:28" ht="15" x14ac:dyDescent="0.2">
      <c r="C150" s="240"/>
      <c r="D150" s="221"/>
      <c r="E150" s="221"/>
      <c r="F150" s="355" t="str">
        <f>IF($G$95="","",'Avaliação Física 6'!AO30)</f>
        <v/>
      </c>
      <c r="G150" s="355"/>
      <c r="H150" s="355"/>
      <c r="I150" s="278"/>
      <c r="J150" s="484"/>
      <c r="K150" s="485"/>
      <c r="L150" s="485"/>
      <c r="M150" s="485"/>
      <c r="N150" s="485"/>
      <c r="O150" s="485"/>
      <c r="P150" s="485"/>
      <c r="S150" s="126"/>
      <c r="T150" s="126" t="s">
        <v>382</v>
      </c>
      <c r="X150">
        <v>2</v>
      </c>
      <c r="Y150" s="126" t="s">
        <v>372</v>
      </c>
      <c r="Z150" s="21" t="e">
        <f t="shared" si="3"/>
        <v>#VALUE!</v>
      </c>
      <c r="AA150" s="126"/>
    </row>
    <row r="151" spans="3:28" ht="15" x14ac:dyDescent="0.2">
      <c r="C151" s="240"/>
      <c r="D151" s="221"/>
      <c r="E151" s="221"/>
      <c r="F151" s="355" t="str">
        <f>IF($G$95="","",'Avaliação Física 6'!AO31)</f>
        <v/>
      </c>
      <c r="G151" s="355"/>
      <c r="H151" s="355"/>
      <c r="I151" s="278"/>
      <c r="J151" s="484"/>
      <c r="K151" s="485"/>
      <c r="L151" s="485"/>
      <c r="M151" s="485"/>
      <c r="N151" s="485"/>
      <c r="O151" s="485"/>
      <c r="P151" s="485"/>
      <c r="S151" s="75" t="s">
        <v>361</v>
      </c>
      <c r="T151" s="213" t="str">
        <f>F99</f>
        <v>-</v>
      </c>
      <c r="X151">
        <v>3</v>
      </c>
      <c r="Y151" s="126" t="s">
        <v>373</v>
      </c>
      <c r="Z151" s="21" t="e">
        <f t="shared" si="3"/>
        <v>#VALUE!</v>
      </c>
      <c r="AA151" s="126"/>
      <c r="AB151" t="e">
        <f>VLOOKUP($E$75,tbGC69121519[nome],1,FALSE)</f>
        <v>#N/A</v>
      </c>
    </row>
    <row r="152" spans="3:28" ht="15" x14ac:dyDescent="0.2">
      <c r="C152" s="240"/>
      <c r="D152" s="221"/>
      <c r="E152" s="221"/>
      <c r="F152" s="355" t="str">
        <f>IF($G$95="","",'Avaliação Física 6'!AO32)</f>
        <v/>
      </c>
      <c r="G152" s="355"/>
      <c r="H152" s="355"/>
      <c r="I152" s="278"/>
      <c r="J152" s="484"/>
      <c r="K152" s="485"/>
      <c r="L152" s="485"/>
      <c r="M152" s="485"/>
      <c r="N152" s="485"/>
      <c r="O152" s="485"/>
      <c r="P152" s="485"/>
      <c r="S152" s="75" t="s">
        <v>363</v>
      </c>
      <c r="T152" s="213" t="str">
        <f t="shared" ref="T152" si="4">F101</f>
        <v>-</v>
      </c>
      <c r="X152">
        <v>4</v>
      </c>
      <c r="Y152" s="126" t="s">
        <v>265</v>
      </c>
      <c r="Z152" s="21" t="e">
        <f t="shared" si="3"/>
        <v>#NUM!</v>
      </c>
      <c r="AA152" s="126"/>
    </row>
    <row r="153" spans="3:28" ht="15" x14ac:dyDescent="0.2">
      <c r="C153" s="240"/>
      <c r="D153" s="221"/>
      <c r="E153" s="221"/>
      <c r="F153" s="355" t="str">
        <f>IF($G$95="","",'Avaliação Física 6'!AO33)</f>
        <v/>
      </c>
      <c r="G153" s="355"/>
      <c r="H153" s="355"/>
      <c r="I153" s="278"/>
      <c r="J153" s="484"/>
      <c r="K153" s="485"/>
      <c r="L153" s="485"/>
      <c r="M153" s="485"/>
      <c r="N153" s="485"/>
      <c r="O153" s="485"/>
      <c r="P153" s="485"/>
      <c r="S153" s="75" t="s">
        <v>364</v>
      </c>
      <c r="T153" s="213" t="str">
        <f>J98</f>
        <v>-</v>
      </c>
      <c r="X153">
        <v>5</v>
      </c>
      <c r="Y153" s="126" t="s">
        <v>374</v>
      </c>
      <c r="Z153" s="21">
        <f t="shared" si="3"/>
        <v>1</v>
      </c>
    </row>
    <row r="154" spans="3:28" ht="15" x14ac:dyDescent="0.2">
      <c r="C154" s="240"/>
      <c r="D154" s="221"/>
      <c r="E154" s="221"/>
      <c r="F154" s="355" t="str">
        <f>IF($G$95="","",'Avaliação Física 6'!AO34)</f>
        <v/>
      </c>
      <c r="G154" s="355"/>
      <c r="H154" s="355"/>
      <c r="I154" s="278"/>
      <c r="J154" s="484"/>
      <c r="K154" s="485"/>
      <c r="L154" s="485"/>
      <c r="M154" s="485"/>
      <c r="N154" s="485"/>
      <c r="O154" s="485"/>
      <c r="P154" s="485"/>
      <c r="S154" s="75" t="s">
        <v>365</v>
      </c>
      <c r="T154" s="213" t="str">
        <f>J99</f>
        <v>-</v>
      </c>
      <c r="X154">
        <v>6</v>
      </c>
      <c r="Y154" s="126" t="s">
        <v>375</v>
      </c>
      <c r="Z154" s="21" t="e">
        <f t="shared" si="3"/>
        <v>#VALUE!</v>
      </c>
    </row>
    <row r="155" spans="3:28" ht="15" x14ac:dyDescent="0.2">
      <c r="C155" s="240"/>
      <c r="D155" s="221"/>
      <c r="E155" s="221"/>
      <c r="F155" s="355" t="str">
        <f>IF($G$95="","",'Avaliação Física 6'!AO35)</f>
        <v/>
      </c>
      <c r="G155" s="355"/>
      <c r="H155" s="355"/>
      <c r="I155" s="278"/>
      <c r="J155" s="484"/>
      <c r="K155" s="485"/>
      <c r="L155" s="485"/>
      <c r="M155" s="485"/>
      <c r="N155" s="485"/>
      <c r="O155" s="485"/>
      <c r="P155" s="485"/>
      <c r="X155">
        <v>7</v>
      </c>
      <c r="Y155" s="126" t="s">
        <v>376</v>
      </c>
      <c r="Z155" s="21">
        <f t="shared" si="3"/>
        <v>10.833600000000001</v>
      </c>
    </row>
    <row r="156" spans="3:28" ht="15" x14ac:dyDescent="0.2">
      <c r="C156" s="240"/>
      <c r="D156" s="221"/>
      <c r="E156" s="221"/>
      <c r="F156" s="355" t="str">
        <f>IF($G$95="","",'Avaliação Física 6'!AO36)</f>
        <v/>
      </c>
      <c r="G156" s="355"/>
      <c r="H156" s="355"/>
      <c r="I156" s="278"/>
      <c r="J156" s="484"/>
      <c r="K156" s="485"/>
      <c r="L156" s="485"/>
      <c r="M156" s="485"/>
      <c r="N156" s="485"/>
      <c r="O156" s="485"/>
      <c r="P156" s="485"/>
      <c r="X156">
        <v>8</v>
      </c>
      <c r="Y156" s="126" t="s">
        <v>384</v>
      </c>
      <c r="Z156" s="21" t="e">
        <f t="shared" si="3"/>
        <v>#NUM!</v>
      </c>
      <c r="AB156" s="21" t="e">
        <f>VLOOKUP($E$75,tbGC69121519[[nome]:[resultado]],2,FALSE)</f>
        <v>#N/A</v>
      </c>
    </row>
    <row r="157" spans="3:28" ht="15" x14ac:dyDescent="0.2">
      <c r="C157" s="240"/>
      <c r="D157" s="221"/>
      <c r="E157" s="221"/>
      <c r="F157" s="355" t="str">
        <f>IF($G$95="","",'Avaliação Física 6'!AO37)</f>
        <v/>
      </c>
      <c r="G157" s="355"/>
      <c r="H157" s="355"/>
      <c r="I157" s="278"/>
      <c r="J157" s="484"/>
      <c r="K157" s="485"/>
      <c r="L157" s="485"/>
      <c r="M157" s="485"/>
      <c r="N157" s="485"/>
      <c r="O157" s="485"/>
      <c r="P157" s="485"/>
      <c r="T157" t="s">
        <v>383</v>
      </c>
      <c r="X157">
        <v>9</v>
      </c>
      <c r="Y157" s="126" t="s">
        <v>387</v>
      </c>
      <c r="Z157" s="21" t="e">
        <f>AB96</f>
        <v>#VALUE!</v>
      </c>
    </row>
    <row r="158" spans="3:28" ht="15" x14ac:dyDescent="0.2">
      <c r="C158" s="240"/>
      <c r="D158" s="221"/>
      <c r="E158" s="221"/>
      <c r="F158" s="355" t="str">
        <f>IF($G$95="","",'Avaliação Física 6'!AO38)</f>
        <v/>
      </c>
      <c r="G158" s="355"/>
      <c r="H158" s="355"/>
      <c r="I158" s="278"/>
      <c r="J158" s="484"/>
      <c r="K158" s="485"/>
      <c r="L158" s="485"/>
      <c r="M158" s="485"/>
      <c r="N158" s="485"/>
      <c r="O158" s="485"/>
      <c r="P158" s="485"/>
      <c r="S158" s="75" t="s">
        <v>381</v>
      </c>
      <c r="T158" s="266">
        <f>F72</f>
        <v>0</v>
      </c>
    </row>
    <row r="159" spans="3:28" ht="15" x14ac:dyDescent="0.2">
      <c r="C159" s="240"/>
      <c r="D159" s="221"/>
      <c r="E159" s="221"/>
      <c r="F159" s="355" t="str">
        <f>IF($G$95="","",'Avaliação Física 6'!AO39)</f>
        <v/>
      </c>
      <c r="G159" s="355"/>
      <c r="H159" s="355"/>
      <c r="I159" s="278"/>
      <c r="J159" s="484"/>
      <c r="K159" s="485"/>
      <c r="L159" s="485"/>
      <c r="M159" s="485"/>
      <c r="N159" s="485"/>
      <c r="O159" s="485"/>
      <c r="P159" s="485"/>
      <c r="S159" t="s">
        <v>120</v>
      </c>
      <c r="T159" s="265" t="str">
        <f>F98</f>
        <v>-</v>
      </c>
    </row>
    <row r="160" spans="3:28" ht="15" x14ac:dyDescent="0.2">
      <c r="C160" s="240"/>
      <c r="D160" s="221"/>
      <c r="E160" s="221"/>
      <c r="F160" s="355" t="str">
        <f>IF($G$95="","",'Avaliação Física 6'!AO40)</f>
        <v/>
      </c>
      <c r="G160" s="355"/>
      <c r="H160" s="355"/>
      <c r="I160" s="278"/>
      <c r="J160" s="484"/>
      <c r="K160" s="485"/>
      <c r="L160" s="485"/>
      <c r="M160" s="485"/>
      <c r="N160" s="485"/>
      <c r="O160" s="485"/>
      <c r="P160" s="485"/>
      <c r="S160" s="75" t="s">
        <v>362</v>
      </c>
      <c r="T160" s="266" t="str">
        <f>F100</f>
        <v>-</v>
      </c>
      <c r="AB160" t="e">
        <f>VLOOKUP($E$75,tbGC69121519[[nome]:[resultado]],2,FALSE)</f>
        <v>#N/A</v>
      </c>
    </row>
    <row r="161" spans="3:153" ht="15" x14ac:dyDescent="0.2">
      <c r="C161" s="240"/>
      <c r="D161" s="221"/>
      <c r="E161" s="221"/>
      <c r="F161" s="355" t="str">
        <f>IF($G$95="","",'Avaliação Física 6'!AO41)</f>
        <v/>
      </c>
      <c r="G161" s="355"/>
      <c r="H161" s="355"/>
      <c r="I161" s="278"/>
      <c r="J161" s="484"/>
      <c r="K161" s="485"/>
      <c r="L161" s="485"/>
      <c r="M161" s="485"/>
      <c r="N161" s="485"/>
      <c r="O161" s="485"/>
      <c r="P161" s="485"/>
    </row>
    <row r="162" spans="3:153" ht="15" x14ac:dyDescent="0.2">
      <c r="C162" s="240"/>
      <c r="D162" s="221"/>
      <c r="E162" s="221"/>
      <c r="F162" s="355" t="str">
        <f>IF($G$95="","",'Avaliação Física 6'!AO42)</f>
        <v/>
      </c>
      <c r="G162" s="355"/>
      <c r="H162" s="355"/>
      <c r="I162" s="278"/>
      <c r="J162" s="484"/>
      <c r="K162" s="485"/>
      <c r="L162" s="485"/>
      <c r="M162" s="485"/>
      <c r="N162" s="485"/>
      <c r="O162" s="485"/>
      <c r="P162" s="485"/>
    </row>
    <row r="163" spans="3:153" ht="15" x14ac:dyDescent="0.2">
      <c r="C163" s="241"/>
      <c r="D163" s="279"/>
      <c r="E163" s="279"/>
      <c r="F163" s="279"/>
      <c r="G163" s="279"/>
      <c r="H163" s="279"/>
      <c r="I163" s="280"/>
      <c r="J163" s="484"/>
      <c r="K163" s="485"/>
      <c r="L163" s="485"/>
      <c r="M163" s="485"/>
      <c r="N163" s="485"/>
      <c r="O163" s="485"/>
      <c r="P163" s="485"/>
      <c r="W163" s="214" t="s">
        <v>369</v>
      </c>
    </row>
    <row r="164" spans="3:153" ht="14.45" hidden="1" customHeight="1" x14ac:dyDescent="0.2">
      <c r="C164" s="55"/>
      <c r="D164" s="56"/>
      <c r="E164" s="56"/>
      <c r="F164" s="56"/>
      <c r="G164" s="56"/>
      <c r="H164" s="56"/>
      <c r="I164" s="57"/>
      <c r="J164" s="105"/>
      <c r="K164" s="105"/>
      <c r="L164" s="105"/>
      <c r="M164" s="105"/>
      <c r="N164" s="105"/>
      <c r="O164" s="105"/>
      <c r="P164" s="105"/>
      <c r="Z164" t="s">
        <v>371</v>
      </c>
    </row>
    <row r="165" spans="3:153" ht="4.1500000000000004" customHeight="1" x14ac:dyDescent="0.2">
      <c r="J165" s="105"/>
      <c r="K165" s="105"/>
      <c r="L165" s="105"/>
      <c r="M165" s="105"/>
      <c r="N165" s="105"/>
      <c r="O165" s="105"/>
      <c r="P165" s="105"/>
    </row>
    <row r="166" spans="3:153" ht="4.1500000000000004" hidden="1" customHeight="1" x14ac:dyDescent="0.2">
      <c r="J166" s="105"/>
      <c r="K166" s="105"/>
      <c r="L166" s="105"/>
      <c r="M166" s="105"/>
      <c r="N166" s="105"/>
      <c r="O166" s="105"/>
      <c r="P166" s="105"/>
    </row>
    <row r="167" spans="3:153" ht="4.1500000000000004" hidden="1" customHeight="1" x14ac:dyDescent="0.2">
      <c r="J167" s="105"/>
      <c r="K167" s="105"/>
      <c r="L167" s="105"/>
      <c r="M167" s="105"/>
      <c r="N167" s="105"/>
      <c r="O167" s="105"/>
      <c r="P167" s="105"/>
      <c r="Z167" t="s">
        <v>371</v>
      </c>
    </row>
    <row r="168" spans="3:153" ht="15" x14ac:dyDescent="0.2">
      <c r="C168" s="362" t="s">
        <v>204</v>
      </c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W168">
        <f>IF(L9="Feminino",1.33*(F78+F77)-0.13*(F78+F77)^2-2.5,0.735*(F78+N79)+1)</f>
        <v>1</v>
      </c>
    </row>
    <row r="169" spans="3:153" ht="6" customHeight="1" x14ac:dyDescent="0.3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Z169" s="21">
        <f>((4.95/W168)-4.5)*100</f>
        <v>45.000000000000014</v>
      </c>
    </row>
    <row r="170" spans="3:153" ht="15" x14ac:dyDescent="0.2">
      <c r="C170" s="238"/>
      <c r="D170" s="357" t="s">
        <v>125</v>
      </c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02"/>
    </row>
    <row r="171" spans="3:153" ht="15" x14ac:dyDescent="0.2">
      <c r="C171" s="240"/>
      <c r="D171" s="221" t="s">
        <v>106</v>
      </c>
      <c r="E171" s="306"/>
      <c r="F171" s="221"/>
      <c r="G171" s="306"/>
      <c r="H171" s="221"/>
      <c r="I171" s="306"/>
      <c r="J171" s="221"/>
      <c r="K171" s="354" t="s">
        <v>57</v>
      </c>
      <c r="L171" s="354"/>
      <c r="M171" s="262"/>
      <c r="N171" s="354" t="s">
        <v>58</v>
      </c>
      <c r="O171" s="354"/>
      <c r="P171" s="278"/>
    </row>
    <row r="172" spans="3:153" s="5" customFormat="1" ht="7.15" customHeight="1" x14ac:dyDescent="0.2">
      <c r="C172" s="240"/>
      <c r="D172" s="221"/>
      <c r="E172" s="306"/>
      <c r="F172" s="221"/>
      <c r="G172" s="306"/>
      <c r="H172" s="221"/>
      <c r="I172" s="306"/>
      <c r="J172" s="221"/>
      <c r="K172" s="221"/>
      <c r="L172" s="221"/>
      <c r="M172" s="221"/>
      <c r="N172" s="221"/>
      <c r="O172" s="221"/>
      <c r="P172" s="278"/>
      <c r="X172"/>
      <c r="Y172"/>
      <c r="Z172"/>
      <c r="AE172" s="7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 s="79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 s="79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 s="79"/>
    </row>
    <row r="173" spans="3:153" ht="15" x14ac:dyDescent="0.2">
      <c r="C173" s="240"/>
      <c r="D173" s="221" t="s">
        <v>103</v>
      </c>
      <c r="E173" s="306"/>
      <c r="F173" s="221"/>
      <c r="G173" s="306"/>
      <c r="H173" s="221"/>
      <c r="I173" s="306"/>
      <c r="J173" s="221"/>
      <c r="K173" s="221"/>
      <c r="L173" s="221"/>
      <c r="M173" s="221"/>
      <c r="N173" s="221"/>
      <c r="O173" s="221"/>
      <c r="P173" s="278"/>
      <c r="Z173" s="5"/>
    </row>
    <row r="174" spans="3:153" s="5" customFormat="1" ht="7.15" customHeight="1" x14ac:dyDescent="0.2">
      <c r="C174" s="240"/>
      <c r="D174" s="221"/>
      <c r="E174" s="306"/>
      <c r="F174" s="221"/>
      <c r="G174" s="306"/>
      <c r="H174" s="221"/>
      <c r="I174" s="306"/>
      <c r="J174" s="221"/>
      <c r="K174" s="221"/>
      <c r="L174" s="221"/>
      <c r="M174" s="221"/>
      <c r="N174" s="221"/>
      <c r="O174" s="221"/>
      <c r="P174" s="278"/>
      <c r="X174"/>
      <c r="Y174"/>
      <c r="Z174"/>
      <c r="AE174" s="79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 s="79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 s="79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 s="79"/>
    </row>
    <row r="175" spans="3:153" ht="15" x14ac:dyDescent="0.2">
      <c r="C175" s="240"/>
      <c r="D175" s="221" t="s">
        <v>229</v>
      </c>
      <c r="E175" s="306"/>
      <c r="F175" s="221"/>
      <c r="G175" s="306"/>
      <c r="H175" s="221"/>
      <c r="I175" s="306"/>
      <c r="J175" s="221"/>
      <c r="K175" s="221"/>
      <c r="L175" s="221"/>
      <c r="M175" s="221"/>
      <c r="N175" s="221"/>
      <c r="O175" s="221"/>
      <c r="P175" s="278"/>
      <c r="W175" s="214" t="s">
        <v>370</v>
      </c>
      <c r="AA175" t="s">
        <v>371</v>
      </c>
    </row>
    <row r="176" spans="3:153" s="5" customFormat="1" ht="7.15" customHeight="1" x14ac:dyDescent="0.2">
      <c r="C176" s="240"/>
      <c r="D176" s="221"/>
      <c r="E176" s="306"/>
      <c r="F176" s="221"/>
      <c r="G176" s="306"/>
      <c r="H176" s="221"/>
      <c r="I176" s="306"/>
      <c r="J176" s="221"/>
      <c r="K176" s="221"/>
      <c r="L176" s="221"/>
      <c r="M176" s="221"/>
      <c r="N176" s="221"/>
      <c r="O176" s="221"/>
      <c r="P176" s="278"/>
      <c r="AE176" s="7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 s="79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 s="79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 s="79"/>
    </row>
    <row r="177" spans="1:153" ht="15" x14ac:dyDescent="0.2">
      <c r="C177" s="240"/>
      <c r="D177" s="221" t="s">
        <v>105</v>
      </c>
      <c r="E177" s="306"/>
      <c r="F177" s="221"/>
      <c r="G177" s="306"/>
      <c r="H177" s="221"/>
      <c r="I177" s="306"/>
      <c r="J177" s="221"/>
      <c r="K177" s="221"/>
      <c r="L177" s="221"/>
      <c r="M177" s="221"/>
      <c r="N177" s="221"/>
      <c r="O177" s="221"/>
      <c r="P177" s="278"/>
      <c r="W177" s="215" t="e">
        <f>IF(L9="Feminino",1.1567-0.0717*LOG10(F78+F79+F77+J79),1.1765 - 0.0744*LOG10(F78+F79+F77+J79))</f>
        <v>#NUM!</v>
      </c>
      <c r="AA177" s="21" t="e">
        <f>((4.95/W177)-4.5)*100</f>
        <v>#NUM!</v>
      </c>
    </row>
    <row r="178" spans="1:153" s="5" customFormat="1" ht="7.15" customHeight="1" x14ac:dyDescent="0.2">
      <c r="C178" s="240"/>
      <c r="D178" s="221"/>
      <c r="E178" s="306"/>
      <c r="F178" s="221"/>
      <c r="G178" s="306"/>
      <c r="H178" s="221"/>
      <c r="I178" s="306"/>
      <c r="J178" s="221"/>
      <c r="K178" s="221"/>
      <c r="L178" s="221"/>
      <c r="M178" s="221"/>
      <c r="N178" s="221"/>
      <c r="O178" s="221"/>
      <c r="P178" s="278"/>
      <c r="AE178" s="79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 s="79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 s="79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 s="79"/>
    </row>
    <row r="179" spans="1:153" ht="15" x14ac:dyDescent="0.2">
      <c r="C179" s="240"/>
      <c r="D179" s="221" t="s">
        <v>104</v>
      </c>
      <c r="E179" s="306"/>
      <c r="F179" s="221"/>
      <c r="G179" s="306"/>
      <c r="H179" s="221"/>
      <c r="I179" s="306"/>
      <c r="J179" s="221"/>
      <c r="K179" s="221"/>
      <c r="L179" s="221"/>
      <c r="M179" s="221"/>
      <c r="N179" s="221"/>
      <c r="O179" s="221"/>
      <c r="P179" s="278"/>
    </row>
    <row r="180" spans="1:153" s="5" customFormat="1" ht="7.15" customHeight="1" x14ac:dyDescent="0.2">
      <c r="C180" s="240"/>
      <c r="D180" s="221"/>
      <c r="E180" s="306"/>
      <c r="F180" s="221"/>
      <c r="G180" s="306"/>
      <c r="H180" s="221"/>
      <c r="I180" s="306"/>
      <c r="J180" s="221"/>
      <c r="K180" s="221"/>
      <c r="L180" s="221"/>
      <c r="M180" s="221"/>
      <c r="N180" s="221"/>
      <c r="O180" s="221"/>
      <c r="P180" s="278"/>
      <c r="AE180" s="79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 s="79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 s="79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 s="79"/>
    </row>
    <row r="181" spans="1:153" ht="15" x14ac:dyDescent="0.2">
      <c r="C181" s="240"/>
      <c r="D181" s="221" t="s">
        <v>52</v>
      </c>
      <c r="E181" s="306"/>
      <c r="F181" s="221"/>
      <c r="G181" s="306"/>
      <c r="H181" s="221"/>
      <c r="I181" s="306"/>
      <c r="J181" s="221"/>
      <c r="K181" s="221"/>
      <c r="L181" s="221"/>
      <c r="M181" s="221"/>
      <c r="N181" s="221"/>
      <c r="O181" s="221"/>
      <c r="P181" s="278"/>
      <c r="X181" s="215"/>
    </row>
    <row r="182" spans="1:153" s="5" customFormat="1" ht="7.15" customHeight="1" x14ac:dyDescent="0.2">
      <c r="C182" s="240"/>
      <c r="D182" s="221"/>
      <c r="E182" s="306"/>
      <c r="F182" s="221"/>
      <c r="G182" s="306"/>
      <c r="H182" s="221"/>
      <c r="I182" s="306"/>
      <c r="J182" s="221"/>
      <c r="K182" s="221"/>
      <c r="L182" s="221"/>
      <c r="M182" s="221"/>
      <c r="N182" s="221"/>
      <c r="O182" s="221"/>
      <c r="P182" s="278"/>
      <c r="AE182" s="7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 s="79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 s="79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 s="79"/>
    </row>
    <row r="183" spans="1:153" ht="15" x14ac:dyDescent="0.2">
      <c r="C183" s="240"/>
      <c r="D183" s="221" t="s">
        <v>107</v>
      </c>
      <c r="E183" s="306"/>
      <c r="F183" s="221"/>
      <c r="G183" s="306"/>
      <c r="H183" s="221"/>
      <c r="I183" s="306"/>
      <c r="J183" s="221"/>
      <c r="K183" s="221"/>
      <c r="L183" s="221"/>
      <c r="M183" s="221"/>
      <c r="N183" s="221"/>
      <c r="O183" s="221"/>
      <c r="P183" s="278"/>
    </row>
    <row r="184" spans="1:153" ht="7.15" customHeight="1" x14ac:dyDescent="0.2">
      <c r="C184" s="240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78"/>
      <c r="X184" s="5"/>
      <c r="Y184" s="5"/>
      <c r="Z184" s="5"/>
    </row>
    <row r="185" spans="1:153" ht="15" x14ac:dyDescent="0.2">
      <c r="C185" s="240"/>
      <c r="D185" s="221" t="s">
        <v>110</v>
      </c>
      <c r="E185" s="306"/>
      <c r="F185" s="221"/>
      <c r="G185" s="306"/>
      <c r="H185" s="221"/>
      <c r="I185" s="306"/>
      <c r="J185" s="221"/>
      <c r="K185" s="221"/>
      <c r="L185" s="221"/>
      <c r="M185" s="221"/>
      <c r="N185" s="221"/>
      <c r="O185" s="221"/>
      <c r="P185" s="278"/>
    </row>
    <row r="186" spans="1:153" ht="15" x14ac:dyDescent="0.2">
      <c r="C186" s="240"/>
      <c r="D186" s="221"/>
      <c r="E186" s="306"/>
      <c r="F186" s="221"/>
      <c r="G186" s="306"/>
      <c r="H186" s="221"/>
      <c r="I186" s="306"/>
      <c r="J186" s="221"/>
      <c r="K186" s="221"/>
      <c r="L186" s="221"/>
      <c r="M186" s="221"/>
      <c r="N186" s="221"/>
      <c r="O186" s="221"/>
      <c r="P186" s="278"/>
      <c r="X186" s="5"/>
      <c r="Y186" s="5"/>
      <c r="Z186" s="5"/>
    </row>
    <row r="187" spans="1:153" s="5" customFormat="1" ht="11.45" customHeight="1" x14ac:dyDescent="0.2">
      <c r="C187" s="240"/>
      <c r="D187" s="221"/>
      <c r="E187" s="306"/>
      <c r="F187" s="221"/>
      <c r="G187" s="306"/>
      <c r="H187" s="221"/>
      <c r="I187" s="306"/>
      <c r="J187" s="221"/>
      <c r="K187" s="221"/>
      <c r="L187" s="221"/>
      <c r="M187" s="221"/>
      <c r="N187" s="221"/>
      <c r="O187" s="221"/>
      <c r="P187" s="278"/>
      <c r="X187"/>
      <c r="Y187"/>
      <c r="Z187"/>
      <c r="AE187" s="79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 s="79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 s="79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s="79"/>
    </row>
    <row r="188" spans="1:153" ht="15" x14ac:dyDescent="0.2">
      <c r="C188" s="240"/>
      <c r="D188" s="356" t="s">
        <v>124</v>
      </c>
      <c r="E188" s="356"/>
      <c r="F188" s="356"/>
      <c r="G188" s="356"/>
      <c r="H188" s="356"/>
      <c r="I188" s="261"/>
      <c r="J188" s="356" t="s">
        <v>123</v>
      </c>
      <c r="K188" s="356"/>
      <c r="L188" s="356"/>
      <c r="M188" s="356"/>
      <c r="N188" s="356"/>
      <c r="O188" s="356"/>
      <c r="P188" s="303"/>
    </row>
    <row r="189" spans="1:153" ht="15" x14ac:dyDescent="0.2">
      <c r="A189" s="227"/>
      <c r="B189" s="227"/>
      <c r="C189" s="240"/>
      <c r="D189" s="221" t="s">
        <v>50</v>
      </c>
      <c r="E189" s="306"/>
      <c r="F189" s="221"/>
      <c r="G189" s="306"/>
      <c r="H189" s="221"/>
      <c r="I189" s="306"/>
      <c r="J189" s="221" t="s">
        <v>379</v>
      </c>
      <c r="K189" s="306"/>
      <c r="L189" s="221"/>
      <c r="M189" s="221"/>
      <c r="N189" s="355"/>
      <c r="O189" s="355"/>
      <c r="P189" s="278"/>
    </row>
    <row r="190" spans="1:153" s="5" customFormat="1" ht="14.45" customHeight="1" x14ac:dyDescent="0.2">
      <c r="A190" s="227"/>
      <c r="B190" s="227"/>
      <c r="C190" s="240"/>
      <c r="D190" s="221"/>
      <c r="E190" s="306"/>
      <c r="F190" s="221"/>
      <c r="G190" s="306"/>
      <c r="H190" s="221"/>
      <c r="I190" s="306"/>
      <c r="J190" s="221"/>
      <c r="K190" s="306"/>
      <c r="L190" s="221"/>
      <c r="M190" s="221"/>
      <c r="N190" s="221"/>
      <c r="O190" s="221"/>
      <c r="P190" s="278"/>
      <c r="X190"/>
      <c r="Y190"/>
      <c r="Z190"/>
      <c r="AE190" s="79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 s="79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 s="79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 s="79"/>
    </row>
    <row r="191" spans="1:153" ht="15" x14ac:dyDescent="0.2">
      <c r="A191" s="227"/>
      <c r="B191" s="227"/>
      <c r="C191" s="240"/>
      <c r="D191" s="221"/>
      <c r="E191" s="306"/>
      <c r="F191" s="221"/>
      <c r="G191" s="306"/>
      <c r="H191" s="221"/>
      <c r="I191" s="306"/>
      <c r="J191" s="221"/>
      <c r="K191" s="306"/>
      <c r="L191" s="221"/>
      <c r="M191" s="221"/>
      <c r="N191" s="221"/>
      <c r="O191" s="221"/>
      <c r="P191" s="278"/>
      <c r="X191" s="5"/>
      <c r="Y191" s="5"/>
      <c r="Z191" s="5"/>
    </row>
    <row r="192" spans="1:153" s="5" customFormat="1" ht="7.15" customHeight="1" x14ac:dyDescent="0.2">
      <c r="A192" s="227"/>
      <c r="B192" s="227"/>
      <c r="C192" s="240"/>
      <c r="D192" s="221"/>
      <c r="E192" s="306"/>
      <c r="F192" s="221"/>
      <c r="G192" s="306"/>
      <c r="H192" s="221"/>
      <c r="I192" s="306"/>
      <c r="J192" s="221"/>
      <c r="K192" s="221"/>
      <c r="L192" s="221"/>
      <c r="M192" s="221"/>
      <c r="N192" s="221"/>
      <c r="O192" s="221"/>
      <c r="P192" s="278"/>
      <c r="X192"/>
      <c r="Y192"/>
      <c r="Z192"/>
      <c r="AE192" s="79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 s="79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 s="79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s="79"/>
    </row>
    <row r="193" spans="1:153" ht="15" x14ac:dyDescent="0.2">
      <c r="A193" s="227"/>
      <c r="B193" s="227"/>
      <c r="C193" s="240"/>
      <c r="D193" s="221" t="s">
        <v>109</v>
      </c>
      <c r="E193" s="221"/>
      <c r="F193" s="221"/>
      <c r="G193" s="306"/>
      <c r="H193" s="221"/>
      <c r="I193" s="306"/>
      <c r="J193" s="221" t="s">
        <v>114</v>
      </c>
      <c r="K193" s="221"/>
      <c r="L193" s="221"/>
      <c r="M193" s="221"/>
      <c r="N193" s="221"/>
      <c r="O193" s="221"/>
      <c r="P193" s="278"/>
    </row>
    <row r="194" spans="1:153" ht="15" x14ac:dyDescent="0.2">
      <c r="A194" s="227"/>
      <c r="B194" s="227"/>
      <c r="C194" s="240"/>
      <c r="D194" s="221"/>
      <c r="E194" s="306"/>
      <c r="F194" s="221"/>
      <c r="G194" s="306"/>
      <c r="H194" s="221"/>
      <c r="I194" s="306"/>
      <c r="J194" s="221"/>
      <c r="K194" s="221"/>
      <c r="L194" s="221"/>
      <c r="M194" s="221"/>
      <c r="N194" s="221"/>
      <c r="O194" s="221"/>
      <c r="P194" s="278"/>
      <c r="X194" s="5"/>
      <c r="Y194" s="5"/>
      <c r="Z194" s="5"/>
    </row>
    <row r="195" spans="1:153" s="5" customFormat="1" ht="14.45" customHeight="1" x14ac:dyDescent="0.2">
      <c r="A195" s="227"/>
      <c r="B195" s="227"/>
      <c r="C195" s="240"/>
      <c r="D195" s="221"/>
      <c r="E195" s="221"/>
      <c r="F195" s="221"/>
      <c r="G195" s="306"/>
      <c r="H195" s="221"/>
      <c r="I195" s="306"/>
      <c r="J195" s="221"/>
      <c r="K195" s="221"/>
      <c r="L195" s="221"/>
      <c r="M195" s="221"/>
      <c r="N195" s="221"/>
      <c r="O195" s="221"/>
      <c r="P195" s="278"/>
      <c r="X195"/>
      <c r="Y195"/>
      <c r="Z195"/>
      <c r="AE195" s="79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 s="79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 s="79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s="79"/>
    </row>
    <row r="196" spans="1:153" ht="14.45" customHeight="1" x14ac:dyDescent="0.2">
      <c r="A196" s="227"/>
      <c r="B196" s="227"/>
      <c r="C196" s="240"/>
      <c r="D196" s="221"/>
      <c r="E196" s="221"/>
      <c r="F196" s="221"/>
      <c r="G196" s="306"/>
      <c r="H196" s="221"/>
      <c r="I196" s="306"/>
      <c r="J196" s="221"/>
      <c r="K196" s="221"/>
      <c r="L196" s="221"/>
      <c r="M196" s="221"/>
      <c r="N196" s="221"/>
      <c r="O196" s="221"/>
      <c r="P196" s="278"/>
      <c r="X196" s="5"/>
      <c r="Y196" s="5"/>
      <c r="Z196" s="5"/>
    </row>
    <row r="197" spans="1:153" s="5" customFormat="1" ht="7.15" customHeight="1" x14ac:dyDescent="0.2">
      <c r="A197" s="227"/>
      <c r="B197" s="227"/>
      <c r="C197" s="240"/>
      <c r="D197" s="221"/>
      <c r="E197" s="306"/>
      <c r="F197" s="221"/>
      <c r="G197" s="306"/>
      <c r="H197" s="221"/>
      <c r="I197" s="306"/>
      <c r="J197" s="221"/>
      <c r="K197" s="221"/>
      <c r="L197" s="221"/>
      <c r="M197" s="221"/>
      <c r="N197" s="221"/>
      <c r="O197" s="221"/>
      <c r="P197" s="278"/>
      <c r="X197"/>
      <c r="Y197"/>
      <c r="Z197"/>
      <c r="AE197" s="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 s="79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 s="79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s="79"/>
    </row>
    <row r="198" spans="1:153" ht="15" x14ac:dyDescent="0.2">
      <c r="C198" s="240"/>
      <c r="D198" s="221" t="s">
        <v>108</v>
      </c>
      <c r="E198" s="221"/>
      <c r="F198" s="221"/>
      <c r="G198" s="306"/>
      <c r="H198" s="221"/>
      <c r="I198" s="306"/>
      <c r="J198" s="221" t="s">
        <v>112</v>
      </c>
      <c r="K198" s="221"/>
      <c r="L198" s="221"/>
      <c r="M198" s="221"/>
      <c r="N198" s="221"/>
      <c r="O198" s="221"/>
      <c r="P198" s="278"/>
    </row>
    <row r="199" spans="1:153" ht="14.45" customHeight="1" x14ac:dyDescent="0.2">
      <c r="C199" s="240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78"/>
      <c r="X199" s="5"/>
      <c r="Y199" s="5"/>
      <c r="Z199" s="5"/>
    </row>
    <row r="200" spans="1:153" ht="15" x14ac:dyDescent="0.2">
      <c r="C200" s="240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78"/>
    </row>
    <row r="201" spans="1:153" ht="7.15" customHeight="1" x14ac:dyDescent="0.2">
      <c r="C201" s="240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78"/>
      <c r="X201" s="5"/>
      <c r="Y201" s="5"/>
      <c r="Z201" s="5"/>
    </row>
    <row r="202" spans="1:153" ht="15" hidden="1" x14ac:dyDescent="0.2">
      <c r="C202" s="240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78"/>
    </row>
    <row r="203" spans="1:153" ht="7.15" hidden="1" customHeight="1" x14ac:dyDescent="0.2">
      <c r="C203" s="240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78"/>
    </row>
    <row r="204" spans="1:153" ht="15" x14ac:dyDescent="0.2">
      <c r="C204" s="240"/>
      <c r="D204" s="221" t="s">
        <v>115</v>
      </c>
      <c r="E204" s="221"/>
      <c r="F204" s="221"/>
      <c r="G204" s="221"/>
      <c r="H204" s="221"/>
      <c r="I204" s="221"/>
      <c r="J204" s="221" t="s">
        <v>113</v>
      </c>
      <c r="K204" s="221"/>
      <c r="L204" s="221"/>
      <c r="M204" s="221"/>
      <c r="N204" s="221"/>
      <c r="O204" s="221"/>
      <c r="P204" s="278"/>
    </row>
    <row r="205" spans="1:153" ht="15" x14ac:dyDescent="0.2">
      <c r="B205" s="227"/>
      <c r="C205" s="240"/>
      <c r="D205" s="221"/>
      <c r="E205" s="306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78"/>
    </row>
    <row r="206" spans="1:153" ht="14.45" customHeight="1" x14ac:dyDescent="0.2">
      <c r="C206" s="240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78"/>
    </row>
    <row r="207" spans="1:153" ht="7.15" customHeight="1" x14ac:dyDescent="0.2">
      <c r="C207" s="240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303"/>
    </row>
    <row r="208" spans="1:153" ht="15" x14ac:dyDescent="0.2">
      <c r="A208" s="227"/>
      <c r="B208" s="227"/>
      <c r="C208" s="240"/>
      <c r="D208" s="221" t="s">
        <v>111</v>
      </c>
      <c r="E208" s="306"/>
      <c r="F208" s="221"/>
      <c r="G208" s="306"/>
      <c r="H208" s="221"/>
      <c r="I208" s="306"/>
      <c r="J208" s="221"/>
      <c r="K208" s="221"/>
      <c r="L208" s="221"/>
      <c r="M208" s="221"/>
      <c r="N208" s="221"/>
      <c r="O208" s="221"/>
      <c r="P208" s="278"/>
    </row>
    <row r="209" spans="1:153" s="5" customFormat="1" ht="14.45" customHeight="1" x14ac:dyDescent="0.2">
      <c r="A209" s="227"/>
      <c r="B209" s="227"/>
      <c r="C209" s="240"/>
      <c r="D209" s="221"/>
      <c r="E209" s="306"/>
      <c r="F209" s="221"/>
      <c r="G209" s="306"/>
      <c r="H209" s="221"/>
      <c r="I209" s="306"/>
      <c r="J209" s="221"/>
      <c r="K209" s="221"/>
      <c r="L209" s="221"/>
      <c r="M209" s="221"/>
      <c r="N209" s="221"/>
      <c r="O209" s="221"/>
      <c r="P209" s="278"/>
      <c r="X209"/>
      <c r="Y209"/>
      <c r="Z209"/>
      <c r="AE209" s="7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 s="7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 s="7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 s="79"/>
    </row>
    <row r="210" spans="1:153" ht="7.15" customHeight="1" x14ac:dyDescent="0.2">
      <c r="A210" s="227"/>
      <c r="B210" s="227"/>
      <c r="C210" s="240"/>
      <c r="D210" s="221"/>
      <c r="E210" s="306"/>
      <c r="F210" s="221"/>
      <c r="G210" s="306"/>
      <c r="H210" s="221"/>
      <c r="I210" s="306"/>
      <c r="J210" s="221"/>
      <c r="K210" s="221"/>
      <c r="L210" s="221"/>
      <c r="M210" s="221"/>
      <c r="N210" s="221"/>
      <c r="O210" s="221"/>
      <c r="P210" s="278"/>
    </row>
    <row r="211" spans="1:153" s="5" customFormat="1" ht="14.45" customHeight="1" x14ac:dyDescent="0.2">
      <c r="A211" s="227"/>
      <c r="B211" s="227"/>
      <c r="C211" s="240"/>
      <c r="D211" s="221" t="s">
        <v>110</v>
      </c>
      <c r="E211" s="221"/>
      <c r="F211" s="221"/>
      <c r="G211" s="221"/>
      <c r="H211" s="221"/>
      <c r="I211" s="306"/>
      <c r="J211" s="221"/>
      <c r="K211" s="221"/>
      <c r="L211" s="221"/>
      <c r="M211" s="221"/>
      <c r="N211" s="221"/>
      <c r="O211" s="221"/>
      <c r="P211" s="278"/>
      <c r="X211"/>
      <c r="Y211"/>
      <c r="Z211"/>
      <c r="AE211" s="79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 s="79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 s="79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s="79"/>
    </row>
    <row r="212" spans="1:153" ht="15" x14ac:dyDescent="0.2">
      <c r="A212" s="227"/>
      <c r="B212" s="227"/>
      <c r="C212" s="240"/>
      <c r="D212" s="221"/>
      <c r="E212" s="221"/>
      <c r="F212" s="221"/>
      <c r="G212" s="221"/>
      <c r="H212" s="221"/>
      <c r="I212" s="306"/>
      <c r="J212" s="221"/>
      <c r="K212" s="221"/>
      <c r="L212" s="221"/>
      <c r="M212" s="221"/>
      <c r="N212" s="221"/>
      <c r="O212" s="221"/>
      <c r="P212" s="278"/>
    </row>
    <row r="213" spans="1:153" s="5" customFormat="1" ht="7.15" customHeight="1" x14ac:dyDescent="0.2">
      <c r="A213" s="227"/>
      <c r="B213" s="227"/>
      <c r="C213" s="241"/>
      <c r="D213" s="279"/>
      <c r="E213" s="304"/>
      <c r="F213" s="279"/>
      <c r="G213" s="304"/>
      <c r="H213" s="279"/>
      <c r="I213" s="304"/>
      <c r="J213" s="279"/>
      <c r="K213" s="279"/>
      <c r="L213" s="279"/>
      <c r="M213" s="279"/>
      <c r="N213" s="279"/>
      <c r="O213" s="279"/>
      <c r="P213" s="280"/>
      <c r="AE213" s="79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 s="79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 s="79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 s="79"/>
    </row>
    <row r="214" spans="1:153" ht="15" x14ac:dyDescent="0.2">
      <c r="A214" s="227"/>
      <c r="B214" s="227"/>
      <c r="C214" s="120"/>
      <c r="D214" s="106"/>
      <c r="E214" s="106"/>
      <c r="F214" s="106"/>
      <c r="G214" s="106"/>
      <c r="H214" s="106"/>
      <c r="I214" s="309"/>
      <c r="J214" s="106"/>
      <c r="K214" s="106"/>
      <c r="L214" s="106"/>
      <c r="M214" s="106"/>
      <c r="N214" s="106"/>
      <c r="O214" s="106"/>
      <c r="P214" s="106"/>
    </row>
    <row r="215" spans="1:153" ht="15" hidden="1" x14ac:dyDescent="0.2"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X215" s="5"/>
      <c r="Y215" s="5"/>
      <c r="Z215" s="5"/>
    </row>
    <row r="216" spans="1:153" ht="15" hidden="1" x14ac:dyDescent="0.2"/>
    <row r="217" spans="1:153" ht="15" x14ac:dyDescent="0.2">
      <c r="C217" s="362" t="s">
        <v>378</v>
      </c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X217" s="5"/>
      <c r="Y217" s="5"/>
      <c r="Z217" s="5"/>
    </row>
    <row r="218" spans="1:153" ht="14.45" customHeight="1" x14ac:dyDescent="0.2"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44"/>
      <c r="N218" s="219"/>
      <c r="O218" s="219"/>
      <c r="P218" s="219"/>
    </row>
    <row r="219" spans="1:153" ht="15" customHeight="1" x14ac:dyDescent="0.2">
      <c r="C219" s="219"/>
      <c r="D219" s="219"/>
      <c r="E219" s="219"/>
      <c r="F219" s="373">
        <v>1</v>
      </c>
      <c r="G219" s="373"/>
      <c r="H219" s="373">
        <v>2</v>
      </c>
      <c r="I219" s="373"/>
      <c r="J219" s="373">
        <v>3</v>
      </c>
      <c r="K219" s="373"/>
      <c r="L219" s="373">
        <v>4</v>
      </c>
      <c r="M219" s="373"/>
      <c r="N219" s="245" t="s">
        <v>67</v>
      </c>
      <c r="O219" s="219"/>
      <c r="P219" s="219"/>
    </row>
    <row r="220" spans="1:153" ht="15" x14ac:dyDescent="0.2">
      <c r="C220" s="364" t="s">
        <v>69</v>
      </c>
      <c r="D220" s="365"/>
      <c r="E220" s="366"/>
      <c r="F220" s="281"/>
      <c r="G220" s="276"/>
      <c r="H220" s="276"/>
      <c r="I220" s="276"/>
      <c r="J220" s="276"/>
      <c r="K220" s="276"/>
      <c r="L220" s="276"/>
      <c r="M220" s="417"/>
      <c r="N220" s="438"/>
      <c r="O220" s="219"/>
      <c r="P220" s="219"/>
    </row>
    <row r="221" spans="1:153" ht="15" x14ac:dyDescent="0.2">
      <c r="C221" s="367"/>
      <c r="D221" s="368"/>
      <c r="E221" s="369"/>
      <c r="F221" s="247"/>
      <c r="G221" s="221"/>
      <c r="H221" s="221"/>
      <c r="I221" s="221"/>
      <c r="J221" s="221"/>
      <c r="K221" s="221"/>
      <c r="L221" s="221"/>
      <c r="M221" s="363"/>
      <c r="N221" s="439"/>
      <c r="O221" s="219"/>
      <c r="P221" s="219"/>
    </row>
    <row r="222" spans="1:153" ht="15.75" thickBot="1" x14ac:dyDescent="0.25">
      <c r="C222" s="370"/>
      <c r="D222" s="371"/>
      <c r="E222" s="372"/>
      <c r="F222" s="248"/>
      <c r="G222" s="221"/>
      <c r="H222" s="221"/>
      <c r="I222" s="221"/>
      <c r="J222" s="221"/>
      <c r="K222" s="221"/>
      <c r="L222" s="221"/>
      <c r="M222" s="363"/>
      <c r="N222" s="440"/>
      <c r="O222" s="219"/>
      <c r="P222" s="219"/>
    </row>
    <row r="223" spans="1:153" ht="15" x14ac:dyDescent="0.2">
      <c r="C223" s="364" t="s">
        <v>68</v>
      </c>
      <c r="D223" s="365"/>
      <c r="E223" s="366"/>
      <c r="F223" s="246"/>
      <c r="G223" s="221"/>
      <c r="H223" s="221"/>
      <c r="I223" s="221"/>
      <c r="J223" s="221"/>
      <c r="K223" s="221"/>
      <c r="L223" s="221"/>
      <c r="M223" s="363"/>
      <c r="N223" s="438"/>
      <c r="O223" s="219"/>
      <c r="P223" s="219"/>
    </row>
    <row r="224" spans="1:153" ht="15.75" thickBot="1" x14ac:dyDescent="0.25">
      <c r="C224" s="367"/>
      <c r="D224" s="368"/>
      <c r="E224" s="369"/>
      <c r="F224" s="247"/>
      <c r="G224" s="221"/>
      <c r="H224" s="221"/>
      <c r="I224" s="221"/>
      <c r="J224" s="221"/>
      <c r="K224" s="221"/>
      <c r="L224" s="221"/>
      <c r="M224" s="363"/>
      <c r="N224" s="439"/>
      <c r="O224" s="219"/>
      <c r="P224" s="219"/>
    </row>
    <row r="225" spans="3:71" ht="15.75" thickBot="1" x14ac:dyDescent="0.25">
      <c r="C225" s="370"/>
      <c r="D225" s="371"/>
      <c r="E225" s="372"/>
      <c r="F225" s="248"/>
      <c r="G225" s="221"/>
      <c r="H225" s="221"/>
      <c r="I225" s="221"/>
      <c r="J225" s="221"/>
      <c r="K225" s="221"/>
      <c r="L225" s="221"/>
      <c r="M225" s="363"/>
      <c r="N225" s="440"/>
      <c r="O225" s="219"/>
      <c r="P225" s="219"/>
      <c r="AJ225" s="401" t="s">
        <v>278</v>
      </c>
      <c r="AK225" s="402"/>
      <c r="AL225" s="402"/>
      <c r="AM225" s="402"/>
      <c r="AN225" s="402"/>
      <c r="AO225" s="402"/>
      <c r="AP225" s="402"/>
      <c r="AQ225" s="402"/>
      <c r="AR225" s="402"/>
      <c r="AS225" s="402"/>
      <c r="AT225" s="402"/>
      <c r="AU225" s="402"/>
      <c r="AV225" s="402"/>
      <c r="AW225" s="402"/>
      <c r="AX225" s="402"/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3"/>
    </row>
    <row r="226" spans="3:71" ht="15.75" thickBot="1" x14ac:dyDescent="0.25">
      <c r="C226" s="364" t="s">
        <v>70</v>
      </c>
      <c r="D226" s="365"/>
      <c r="E226" s="366"/>
      <c r="F226" s="246"/>
      <c r="G226" s="221"/>
      <c r="H226" s="221"/>
      <c r="I226" s="221"/>
      <c r="J226" s="221"/>
      <c r="K226" s="221"/>
      <c r="L226" s="221"/>
      <c r="M226" s="363"/>
      <c r="N226" s="438"/>
      <c r="O226" s="219"/>
      <c r="P226" s="219"/>
      <c r="AJ226" s="401" t="s">
        <v>279</v>
      </c>
      <c r="AK226" s="402"/>
      <c r="AL226" s="402"/>
      <c r="AM226" s="402"/>
      <c r="AN226" s="402"/>
      <c r="AO226" s="402"/>
      <c r="AP226" s="402" t="s">
        <v>280</v>
      </c>
      <c r="AQ226" s="402"/>
      <c r="AR226" s="402"/>
      <c r="AS226" s="402"/>
      <c r="AT226" s="402"/>
      <c r="AU226" s="192" t="s">
        <v>281</v>
      </c>
      <c r="AV226" s="192"/>
      <c r="AW226" s="192"/>
      <c r="AX226" s="192"/>
      <c r="AY226" s="192"/>
      <c r="AZ226" s="192" t="s">
        <v>282</v>
      </c>
      <c r="BA226" s="192"/>
      <c r="BB226" s="192"/>
      <c r="BC226" s="192"/>
      <c r="BD226" s="192"/>
      <c r="BE226" s="192" t="s">
        <v>283</v>
      </c>
      <c r="BF226" s="192"/>
      <c r="BG226" s="192"/>
      <c r="BH226" s="192"/>
      <c r="BI226" s="192"/>
      <c r="BJ226" s="192" t="s">
        <v>284</v>
      </c>
      <c r="BK226" s="192"/>
      <c r="BL226" s="192"/>
      <c r="BM226" s="192"/>
      <c r="BN226" s="192"/>
      <c r="BO226" s="192" t="s">
        <v>285</v>
      </c>
      <c r="BP226" s="192"/>
      <c r="BQ226" s="192"/>
      <c r="BR226" s="192"/>
      <c r="BS226" s="193"/>
    </row>
    <row r="227" spans="3:71" ht="15" x14ac:dyDescent="0.2">
      <c r="C227" s="367"/>
      <c r="D227" s="368"/>
      <c r="E227" s="369"/>
      <c r="F227" s="247"/>
      <c r="G227" s="221"/>
      <c r="H227" s="221"/>
      <c r="I227" s="221"/>
      <c r="J227" s="221"/>
      <c r="K227" s="221"/>
      <c r="L227" s="221"/>
      <c r="M227" s="363"/>
      <c r="N227" s="439"/>
      <c r="O227" s="219"/>
      <c r="P227" s="219"/>
      <c r="AJ227" s="180" t="s">
        <v>141</v>
      </c>
      <c r="AK227" s="181"/>
      <c r="AL227" s="181"/>
      <c r="AM227" s="181"/>
      <c r="AN227" s="181"/>
      <c r="AO227" s="181"/>
      <c r="AP227" s="181" t="s">
        <v>286</v>
      </c>
      <c r="AQ227" s="181"/>
      <c r="AR227" s="181"/>
      <c r="AS227" s="181"/>
      <c r="AT227" s="181"/>
      <c r="AU227" s="181" t="s">
        <v>287</v>
      </c>
      <c r="AV227" s="181"/>
      <c r="AW227" s="181"/>
      <c r="AX227" s="181"/>
      <c r="AY227" s="181"/>
      <c r="AZ227" s="181" t="s">
        <v>288</v>
      </c>
      <c r="BA227" s="181"/>
      <c r="BB227" s="181"/>
      <c r="BC227" s="181"/>
      <c r="BD227" s="181"/>
      <c r="BE227" s="181" t="s">
        <v>289</v>
      </c>
      <c r="BF227" s="181"/>
      <c r="BG227" s="181"/>
      <c r="BH227" s="181"/>
      <c r="BI227" s="181"/>
      <c r="BJ227" s="181" t="s">
        <v>290</v>
      </c>
      <c r="BK227" s="181"/>
      <c r="BL227" s="181"/>
      <c r="BM227" s="181"/>
      <c r="BN227" s="181"/>
      <c r="BO227" s="181" t="s">
        <v>291</v>
      </c>
      <c r="BP227" s="181"/>
      <c r="BQ227" s="181"/>
      <c r="BR227" s="181"/>
      <c r="BS227" s="191"/>
    </row>
    <row r="228" spans="3:71" ht="15.75" thickBot="1" x14ac:dyDescent="0.25">
      <c r="C228" s="370"/>
      <c r="D228" s="371"/>
      <c r="E228" s="372"/>
      <c r="F228" s="248"/>
      <c r="G228" s="221"/>
      <c r="H228" s="221"/>
      <c r="I228" s="221"/>
      <c r="J228" s="221"/>
      <c r="K228" s="221"/>
      <c r="L228" s="221"/>
      <c r="M228" s="363"/>
      <c r="N228" s="440"/>
      <c r="O228" s="219"/>
      <c r="P228" s="219"/>
      <c r="AJ228" s="182" t="s">
        <v>140</v>
      </c>
      <c r="AK228" s="123"/>
      <c r="AL228" s="123"/>
      <c r="AM228" s="123"/>
      <c r="AN228" s="123"/>
      <c r="AO228" s="123"/>
      <c r="AP228" s="123" t="s">
        <v>292</v>
      </c>
      <c r="AQ228" s="123"/>
      <c r="AR228" s="123"/>
      <c r="AS228" s="123"/>
      <c r="AT228" s="123"/>
      <c r="AU228" s="123" t="s">
        <v>293</v>
      </c>
      <c r="AV228" s="123"/>
      <c r="AW228" s="123"/>
      <c r="AX228" s="123"/>
      <c r="AY228" s="123"/>
      <c r="AZ228" s="123" t="s">
        <v>294</v>
      </c>
      <c r="BA228" s="123"/>
      <c r="BB228" s="123"/>
      <c r="BC228" s="123"/>
      <c r="BD228" s="123"/>
      <c r="BE228" s="123" t="s">
        <v>295</v>
      </c>
      <c r="BF228" s="123"/>
      <c r="BG228" s="123"/>
      <c r="BH228" s="123"/>
      <c r="BI228" s="123"/>
      <c r="BJ228" s="123" t="s">
        <v>296</v>
      </c>
      <c r="BK228" s="123"/>
      <c r="BL228" s="123"/>
      <c r="BM228" s="123"/>
      <c r="BN228" s="123"/>
      <c r="BO228" s="123" t="s">
        <v>297</v>
      </c>
      <c r="BP228" s="123"/>
      <c r="BQ228" s="123"/>
      <c r="BR228" s="123"/>
      <c r="BS228" s="190"/>
    </row>
    <row r="229" spans="3:71" ht="15" x14ac:dyDescent="0.2">
      <c r="C229" s="364" t="s">
        <v>71</v>
      </c>
      <c r="D229" s="365"/>
      <c r="E229" s="366"/>
      <c r="F229" s="246"/>
      <c r="G229" s="221"/>
      <c r="H229" s="221"/>
      <c r="I229" s="221"/>
      <c r="J229" s="221"/>
      <c r="K229" s="221"/>
      <c r="L229" s="221"/>
      <c r="M229" s="363"/>
      <c r="N229" s="438"/>
      <c r="O229" s="219"/>
      <c r="P229" s="219"/>
      <c r="AJ229" s="183" t="s">
        <v>298</v>
      </c>
      <c r="AK229" s="184"/>
      <c r="AL229" s="184"/>
      <c r="AM229" s="184"/>
      <c r="AN229" s="184"/>
      <c r="AO229" s="184"/>
      <c r="AP229" s="184" t="s">
        <v>299</v>
      </c>
      <c r="AQ229" s="184"/>
      <c r="AR229" s="184"/>
      <c r="AS229" s="184"/>
      <c r="AT229" s="184"/>
      <c r="AU229" s="184" t="s">
        <v>294</v>
      </c>
      <c r="AV229" s="184"/>
      <c r="AW229" s="184"/>
      <c r="AX229" s="184"/>
      <c r="AY229" s="184"/>
      <c r="AZ229" s="184" t="s">
        <v>297</v>
      </c>
      <c r="BA229" s="184"/>
      <c r="BB229" s="184"/>
      <c r="BC229" s="184"/>
      <c r="BD229" s="184"/>
      <c r="BE229" s="184" t="s">
        <v>300</v>
      </c>
      <c r="BF229" s="184"/>
      <c r="BG229" s="184"/>
      <c r="BH229" s="184"/>
      <c r="BI229" s="184"/>
      <c r="BJ229" s="184" t="s">
        <v>301</v>
      </c>
      <c r="BK229" s="184"/>
      <c r="BL229" s="184"/>
      <c r="BM229" s="184"/>
      <c r="BN229" s="184"/>
      <c r="BO229" s="184" t="s">
        <v>302</v>
      </c>
      <c r="BP229" s="184"/>
      <c r="BQ229" s="184"/>
      <c r="BR229" s="184"/>
      <c r="BS229" s="189"/>
    </row>
    <row r="230" spans="3:71" ht="15" x14ac:dyDescent="0.2">
      <c r="C230" s="367"/>
      <c r="D230" s="368"/>
      <c r="E230" s="369"/>
      <c r="F230" s="247"/>
      <c r="G230" s="221"/>
      <c r="H230" s="221"/>
      <c r="I230" s="221"/>
      <c r="J230" s="221"/>
      <c r="K230" s="221"/>
      <c r="L230" s="221"/>
      <c r="M230" s="363"/>
      <c r="N230" s="439"/>
      <c r="O230" s="219"/>
      <c r="P230" s="219"/>
      <c r="AJ230" s="182" t="s">
        <v>303</v>
      </c>
      <c r="AK230" s="123"/>
      <c r="AL230" s="123"/>
      <c r="AM230" s="123"/>
      <c r="AN230" s="123"/>
      <c r="AO230" s="123"/>
      <c r="AP230" s="123" t="s">
        <v>304</v>
      </c>
      <c r="AQ230" s="123"/>
      <c r="AR230" s="123"/>
      <c r="AS230" s="123"/>
      <c r="AT230" s="123"/>
      <c r="AU230" s="123" t="s">
        <v>295</v>
      </c>
      <c r="AV230" s="123"/>
      <c r="AW230" s="123"/>
      <c r="AX230" s="123"/>
      <c r="AY230" s="123"/>
      <c r="AZ230" s="123" t="s">
        <v>300</v>
      </c>
      <c r="BA230" s="123"/>
      <c r="BB230" s="123"/>
      <c r="BC230" s="123"/>
      <c r="BD230" s="123"/>
      <c r="BE230" s="123" t="s">
        <v>305</v>
      </c>
      <c r="BF230" s="123"/>
      <c r="BG230" s="123"/>
      <c r="BH230" s="123"/>
      <c r="BI230" s="123"/>
      <c r="BJ230" s="123" t="s">
        <v>305</v>
      </c>
      <c r="BK230" s="123"/>
      <c r="BL230" s="123"/>
      <c r="BM230" s="123"/>
      <c r="BN230" s="123"/>
      <c r="BO230" s="123" t="s">
        <v>306</v>
      </c>
      <c r="BP230" s="123"/>
      <c r="BQ230" s="123"/>
      <c r="BR230" s="123"/>
      <c r="BS230" s="190"/>
    </row>
    <row r="231" spans="3:71" ht="15.75" thickBot="1" x14ac:dyDescent="0.25">
      <c r="C231" s="370"/>
      <c r="D231" s="371"/>
      <c r="E231" s="372"/>
      <c r="F231" s="248"/>
      <c r="G231" s="221"/>
      <c r="H231" s="221"/>
      <c r="I231" s="221"/>
      <c r="J231" s="221"/>
      <c r="K231" s="221"/>
      <c r="L231" s="221"/>
      <c r="M231" s="363"/>
      <c r="N231" s="440"/>
      <c r="O231" s="219"/>
      <c r="P231" s="219"/>
      <c r="AJ231" s="183" t="s">
        <v>307</v>
      </c>
      <c r="AK231" s="184"/>
      <c r="AL231" s="184"/>
      <c r="AM231" s="184"/>
      <c r="AN231" s="184"/>
      <c r="AO231" s="184"/>
      <c r="AP231" s="184" t="s">
        <v>308</v>
      </c>
      <c r="AQ231" s="184"/>
      <c r="AR231" s="184"/>
      <c r="AS231" s="184"/>
      <c r="AT231" s="184"/>
      <c r="AU231" s="184" t="s">
        <v>309</v>
      </c>
      <c r="AV231" s="184"/>
      <c r="AW231" s="184"/>
      <c r="AX231" s="184"/>
      <c r="AY231" s="184"/>
      <c r="AZ231" s="184" t="s">
        <v>305</v>
      </c>
      <c r="BA231" s="184"/>
      <c r="BB231" s="184"/>
      <c r="BC231" s="184"/>
      <c r="BD231" s="184"/>
      <c r="BE231" s="184" t="s">
        <v>310</v>
      </c>
      <c r="BF231" s="184"/>
      <c r="BG231" s="184"/>
      <c r="BH231" s="184"/>
      <c r="BI231" s="184"/>
      <c r="BJ231" s="184" t="s">
        <v>310</v>
      </c>
      <c r="BK231" s="184"/>
      <c r="BL231" s="184"/>
      <c r="BM231" s="184"/>
      <c r="BN231" s="184"/>
      <c r="BO231" s="184" t="s">
        <v>311</v>
      </c>
      <c r="BP231" s="184"/>
      <c r="BQ231" s="184"/>
      <c r="BR231" s="184"/>
      <c r="BS231" s="189"/>
    </row>
    <row r="232" spans="3:71" ht="15" x14ac:dyDescent="0.2">
      <c r="C232" s="364" t="s">
        <v>72</v>
      </c>
      <c r="D232" s="365"/>
      <c r="E232" s="366"/>
      <c r="F232" s="246"/>
      <c r="G232" s="221"/>
      <c r="H232" s="221"/>
      <c r="I232" s="221"/>
      <c r="J232" s="221"/>
      <c r="K232" s="221"/>
      <c r="L232" s="221"/>
      <c r="M232" s="363"/>
      <c r="N232" s="438"/>
      <c r="O232" s="219"/>
      <c r="P232" s="219"/>
      <c r="AJ232" s="182" t="s">
        <v>312</v>
      </c>
      <c r="AK232" s="123"/>
      <c r="AL232" s="123"/>
      <c r="AM232" s="123"/>
      <c r="AN232" s="123"/>
      <c r="AO232" s="123"/>
      <c r="AP232" s="123" t="s">
        <v>313</v>
      </c>
      <c r="AQ232" s="123"/>
      <c r="AR232" s="123"/>
      <c r="AS232" s="123"/>
      <c r="AT232" s="123"/>
      <c r="AU232" s="123" t="s">
        <v>314</v>
      </c>
      <c r="AV232" s="123"/>
      <c r="AW232" s="123"/>
      <c r="AX232" s="123"/>
      <c r="AY232" s="123"/>
      <c r="AZ232" s="123" t="s">
        <v>315</v>
      </c>
      <c r="BA232" s="123"/>
      <c r="BB232" s="123"/>
      <c r="BC232" s="123"/>
      <c r="BD232" s="123"/>
      <c r="BE232" s="123" t="s">
        <v>316</v>
      </c>
      <c r="BF232" s="123"/>
      <c r="BG232" s="123"/>
      <c r="BH232" s="123"/>
      <c r="BI232" s="123"/>
      <c r="BJ232" s="123" t="s">
        <v>316</v>
      </c>
      <c r="BK232" s="123"/>
      <c r="BL232" s="123"/>
      <c r="BM232" s="123"/>
      <c r="BN232" s="123"/>
      <c r="BO232" s="123" t="s">
        <v>315</v>
      </c>
      <c r="BP232" s="123"/>
      <c r="BQ232" s="123"/>
      <c r="BR232" s="123"/>
      <c r="BS232" s="190"/>
    </row>
    <row r="233" spans="3:71" ht="15.75" thickBot="1" x14ac:dyDescent="0.25">
      <c r="C233" s="367"/>
      <c r="D233" s="368"/>
      <c r="E233" s="369"/>
      <c r="F233" s="247"/>
      <c r="G233" s="221"/>
      <c r="H233" s="221"/>
      <c r="I233" s="221"/>
      <c r="J233" s="221"/>
      <c r="K233" s="221"/>
      <c r="L233" s="221"/>
      <c r="M233" s="363"/>
      <c r="N233" s="439"/>
      <c r="O233" s="219"/>
      <c r="P233" s="219"/>
      <c r="AJ233" s="185" t="s">
        <v>317</v>
      </c>
      <c r="AK233" s="186"/>
      <c r="AL233" s="186"/>
      <c r="AM233" s="186"/>
      <c r="AN233" s="186"/>
      <c r="AO233" s="186"/>
      <c r="AP233" s="186" t="s">
        <v>318</v>
      </c>
      <c r="AQ233" s="186"/>
      <c r="AR233" s="186"/>
      <c r="AS233" s="186"/>
      <c r="AT233" s="186"/>
      <c r="AU233" s="186" t="s">
        <v>319</v>
      </c>
      <c r="AV233" s="186"/>
      <c r="AW233" s="186"/>
      <c r="AX233" s="186"/>
      <c r="AY233" s="186"/>
      <c r="AZ233" s="186" t="s">
        <v>320</v>
      </c>
      <c r="BA233" s="186"/>
      <c r="BB233" s="186"/>
      <c r="BC233" s="186"/>
      <c r="BD233" s="186"/>
      <c r="BE233" s="186" t="s">
        <v>321</v>
      </c>
      <c r="BF233" s="186"/>
      <c r="BG233" s="186"/>
      <c r="BH233" s="186"/>
      <c r="BI233" s="186"/>
      <c r="BJ233" s="186" t="s">
        <v>321</v>
      </c>
      <c r="BK233" s="186"/>
      <c r="BL233" s="186"/>
      <c r="BM233" s="186"/>
      <c r="BN233" s="186"/>
      <c r="BO233" s="186" t="s">
        <v>322</v>
      </c>
      <c r="BP233" s="186"/>
      <c r="BQ233" s="186"/>
      <c r="BR233" s="186"/>
      <c r="BS233" s="188"/>
    </row>
    <row r="234" spans="3:71" ht="15.75" thickBot="1" x14ac:dyDescent="0.25">
      <c r="C234" s="370"/>
      <c r="D234" s="371"/>
      <c r="E234" s="372"/>
      <c r="F234" s="248"/>
      <c r="G234" s="221"/>
      <c r="H234" s="221"/>
      <c r="I234" s="221"/>
      <c r="J234" s="221"/>
      <c r="K234" s="221"/>
      <c r="L234" s="221"/>
      <c r="M234" s="363"/>
      <c r="N234" s="440"/>
      <c r="O234" s="219"/>
      <c r="P234" s="219"/>
      <c r="AJ234" s="401" t="s">
        <v>323</v>
      </c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3"/>
    </row>
    <row r="235" spans="3:71" ht="15.75" thickBot="1" x14ac:dyDescent="0.25">
      <c r="C235" s="364" t="s">
        <v>73</v>
      </c>
      <c r="D235" s="365"/>
      <c r="E235" s="366"/>
      <c r="F235" s="246"/>
      <c r="G235" s="221"/>
      <c r="H235" s="221"/>
      <c r="I235" s="221"/>
      <c r="J235" s="221"/>
      <c r="K235" s="221"/>
      <c r="L235" s="221"/>
      <c r="M235" s="363"/>
      <c r="N235" s="438"/>
      <c r="O235" s="219"/>
      <c r="P235" s="219"/>
      <c r="AJ235" s="401" t="s">
        <v>279</v>
      </c>
      <c r="AK235" s="402"/>
      <c r="AL235" s="402"/>
      <c r="AM235" s="402"/>
      <c r="AN235" s="402"/>
      <c r="AO235" s="402"/>
      <c r="AP235" s="192" t="s">
        <v>280</v>
      </c>
      <c r="AQ235" s="192"/>
      <c r="AR235" s="192"/>
      <c r="AS235" s="192"/>
      <c r="AT235" s="192"/>
      <c r="AU235" s="192" t="s">
        <v>281</v>
      </c>
      <c r="AV235" s="192"/>
      <c r="AW235" s="192"/>
      <c r="AX235" s="192"/>
      <c r="AY235" s="192"/>
      <c r="AZ235" s="192" t="s">
        <v>282</v>
      </c>
      <c r="BA235" s="192"/>
      <c r="BB235" s="192"/>
      <c r="BC235" s="192"/>
      <c r="BD235" s="192"/>
      <c r="BE235" s="192" t="s">
        <v>283</v>
      </c>
      <c r="BF235" s="192"/>
      <c r="BG235" s="192"/>
      <c r="BH235" s="192"/>
      <c r="BI235" s="192"/>
      <c r="BJ235" s="192" t="s">
        <v>284</v>
      </c>
      <c r="BK235" s="192"/>
      <c r="BL235" s="192"/>
      <c r="BM235" s="192"/>
      <c r="BN235" s="192"/>
      <c r="BO235" s="192" t="s">
        <v>285</v>
      </c>
      <c r="BP235" s="192"/>
      <c r="BQ235" s="192"/>
      <c r="BR235" s="192"/>
      <c r="BS235" s="193"/>
    </row>
    <row r="236" spans="3:71" ht="15" x14ac:dyDescent="0.2">
      <c r="C236" s="367"/>
      <c r="D236" s="368"/>
      <c r="E236" s="369"/>
      <c r="F236" s="247"/>
      <c r="G236" s="221"/>
      <c r="H236" s="221"/>
      <c r="I236" s="221"/>
      <c r="J236" s="221"/>
      <c r="K236" s="221"/>
      <c r="L236" s="221"/>
      <c r="M236" s="363"/>
      <c r="N236" s="439"/>
      <c r="O236" s="219"/>
      <c r="P236" s="219"/>
      <c r="AJ236" s="393" t="s">
        <v>141</v>
      </c>
      <c r="AK236" s="394"/>
      <c r="AL236" s="394"/>
      <c r="AM236" s="394"/>
      <c r="AN236" s="394"/>
      <c r="AO236" s="394"/>
      <c r="AP236" s="181" t="s">
        <v>324</v>
      </c>
      <c r="AQ236" s="181"/>
      <c r="AR236" s="181"/>
      <c r="AS236" s="181"/>
      <c r="AT236" s="181"/>
      <c r="AU236" s="181" t="s">
        <v>304</v>
      </c>
      <c r="AV236" s="181"/>
      <c r="AW236" s="181"/>
      <c r="AX236" s="181"/>
      <c r="AY236" s="181"/>
      <c r="AZ236" s="181" t="s">
        <v>325</v>
      </c>
      <c r="BA236" s="181"/>
      <c r="BB236" s="181"/>
      <c r="BC236" s="181"/>
      <c r="BD236" s="181"/>
      <c r="BE236" s="181" t="s">
        <v>326</v>
      </c>
      <c r="BF236" s="181"/>
      <c r="BG236" s="181"/>
      <c r="BH236" s="181"/>
      <c r="BI236" s="181"/>
      <c r="BJ236" s="181" t="s">
        <v>327</v>
      </c>
      <c r="BK236" s="181"/>
      <c r="BL236" s="181"/>
      <c r="BM236" s="181"/>
      <c r="BN236" s="181"/>
      <c r="BO236" s="181" t="s">
        <v>328</v>
      </c>
      <c r="BP236" s="181"/>
      <c r="BQ236" s="181"/>
      <c r="BR236" s="181"/>
      <c r="BS236" s="191"/>
    </row>
    <row r="237" spans="3:71" ht="15.75" thickBot="1" x14ac:dyDescent="0.25">
      <c r="C237" s="370"/>
      <c r="D237" s="371"/>
      <c r="E237" s="372"/>
      <c r="F237" s="248"/>
      <c r="G237" s="221"/>
      <c r="H237" s="221"/>
      <c r="I237" s="221"/>
      <c r="J237" s="221"/>
      <c r="K237" s="221"/>
      <c r="L237" s="221"/>
      <c r="M237" s="363"/>
      <c r="N237" s="440"/>
      <c r="O237" s="219"/>
      <c r="P237" s="219"/>
      <c r="AJ237" s="380" t="s">
        <v>140</v>
      </c>
      <c r="AK237" s="392"/>
      <c r="AL237" s="392"/>
      <c r="AM237" s="392"/>
      <c r="AN237" s="392"/>
      <c r="AO237" s="392"/>
      <c r="AP237" s="123" t="s">
        <v>329</v>
      </c>
      <c r="AQ237" s="123"/>
      <c r="AR237" s="123"/>
      <c r="AS237" s="123"/>
      <c r="AT237" s="123"/>
      <c r="AU237" s="123" t="s">
        <v>295</v>
      </c>
      <c r="AV237" s="123"/>
      <c r="AW237" s="123"/>
      <c r="AX237" s="123"/>
      <c r="AY237" s="123"/>
      <c r="AZ237" s="123" t="s">
        <v>330</v>
      </c>
      <c r="BA237" s="123"/>
      <c r="BB237" s="123"/>
      <c r="BC237" s="123"/>
      <c r="BD237" s="123"/>
      <c r="BE237" s="123" t="s">
        <v>331</v>
      </c>
      <c r="BF237" s="123"/>
      <c r="BG237" s="123"/>
      <c r="BH237" s="123"/>
      <c r="BI237" s="123"/>
      <c r="BJ237" s="123" t="s">
        <v>332</v>
      </c>
      <c r="BK237" s="123"/>
      <c r="BL237" s="123"/>
      <c r="BM237" s="123"/>
      <c r="BN237" s="123"/>
      <c r="BO237" s="123" t="s">
        <v>333</v>
      </c>
      <c r="BP237" s="123"/>
      <c r="BQ237" s="123"/>
      <c r="BR237" s="123"/>
      <c r="BS237" s="190"/>
    </row>
    <row r="238" spans="3:71" ht="15" x14ac:dyDescent="0.2">
      <c r="C238" s="364" t="s">
        <v>74</v>
      </c>
      <c r="D238" s="365"/>
      <c r="E238" s="366"/>
      <c r="F238" s="246"/>
      <c r="G238" s="221"/>
      <c r="H238" s="221"/>
      <c r="I238" s="221"/>
      <c r="J238" s="221"/>
      <c r="K238" s="221"/>
      <c r="L238" s="221"/>
      <c r="M238" s="363"/>
      <c r="N238" s="438"/>
      <c r="O238" s="219"/>
      <c r="P238" s="219"/>
      <c r="AJ238" s="378" t="s">
        <v>298</v>
      </c>
      <c r="AK238" s="391"/>
      <c r="AL238" s="391"/>
      <c r="AM238" s="391"/>
      <c r="AN238" s="391"/>
      <c r="AO238" s="391"/>
      <c r="AP238" s="184" t="s">
        <v>334</v>
      </c>
      <c r="AQ238" s="184"/>
      <c r="AR238" s="184"/>
      <c r="AS238" s="184"/>
      <c r="AT238" s="184"/>
      <c r="AU238" s="184" t="s">
        <v>300</v>
      </c>
      <c r="AV238" s="184"/>
      <c r="AW238" s="184"/>
      <c r="AX238" s="184"/>
      <c r="AY238" s="184"/>
      <c r="AZ238" s="184" t="s">
        <v>332</v>
      </c>
      <c r="BA238" s="184"/>
      <c r="BB238" s="184"/>
      <c r="BC238" s="184"/>
      <c r="BD238" s="184"/>
      <c r="BE238" s="184" t="s">
        <v>335</v>
      </c>
      <c r="BF238" s="184"/>
      <c r="BG238" s="184"/>
      <c r="BH238" s="184"/>
      <c r="BI238" s="184"/>
      <c r="BJ238" s="184" t="s">
        <v>315</v>
      </c>
      <c r="BK238" s="184"/>
      <c r="BL238" s="184"/>
      <c r="BM238" s="184"/>
      <c r="BN238" s="184"/>
      <c r="BO238" s="184" t="s">
        <v>315</v>
      </c>
      <c r="BP238" s="184"/>
      <c r="BQ238" s="184"/>
      <c r="BR238" s="184"/>
      <c r="BS238" s="189"/>
    </row>
    <row r="239" spans="3:71" ht="15" x14ac:dyDescent="0.2">
      <c r="C239" s="367"/>
      <c r="D239" s="368"/>
      <c r="E239" s="369"/>
      <c r="F239" s="247"/>
      <c r="G239" s="221"/>
      <c r="H239" s="221"/>
      <c r="I239" s="221"/>
      <c r="J239" s="221"/>
      <c r="K239" s="221"/>
      <c r="L239" s="221"/>
      <c r="M239" s="363"/>
      <c r="N239" s="439"/>
      <c r="O239" s="219"/>
      <c r="P239" s="219"/>
      <c r="AJ239" s="380" t="s">
        <v>303</v>
      </c>
      <c r="AK239" s="392"/>
      <c r="AL239" s="392"/>
      <c r="AM239" s="392"/>
      <c r="AN239" s="392"/>
      <c r="AO239" s="392"/>
      <c r="AP239" s="123" t="s">
        <v>331</v>
      </c>
      <c r="AQ239" s="123"/>
      <c r="AR239" s="123"/>
      <c r="AS239" s="123"/>
      <c r="AT239" s="123"/>
      <c r="AU239" s="123" t="s">
        <v>305</v>
      </c>
      <c r="AV239" s="123"/>
      <c r="AW239" s="123"/>
      <c r="AX239" s="123"/>
      <c r="AY239" s="123"/>
      <c r="AZ239" s="123" t="s">
        <v>315</v>
      </c>
      <c r="BA239" s="123"/>
      <c r="BB239" s="123"/>
      <c r="BC239" s="123"/>
      <c r="BD239" s="123"/>
      <c r="BE239" s="123" t="s">
        <v>336</v>
      </c>
      <c r="BF239" s="123"/>
      <c r="BG239" s="123"/>
      <c r="BH239" s="123"/>
      <c r="BI239" s="123"/>
      <c r="BJ239" s="123" t="s">
        <v>337</v>
      </c>
      <c r="BK239" s="123"/>
      <c r="BL239" s="123"/>
      <c r="BM239" s="123"/>
      <c r="BN239" s="123"/>
      <c r="BO239" s="123" t="s">
        <v>337</v>
      </c>
      <c r="BP239" s="123"/>
      <c r="BQ239" s="123"/>
      <c r="BR239" s="123"/>
      <c r="BS239" s="190"/>
    </row>
    <row r="240" spans="3:71" ht="15.75" thickBot="1" x14ac:dyDescent="0.25">
      <c r="C240" s="370"/>
      <c r="D240" s="371"/>
      <c r="E240" s="372"/>
      <c r="F240" s="248"/>
      <c r="G240" s="221"/>
      <c r="H240" s="221"/>
      <c r="I240" s="221"/>
      <c r="J240" s="221"/>
      <c r="K240" s="221"/>
      <c r="L240" s="221"/>
      <c r="M240" s="363"/>
      <c r="N240" s="440"/>
      <c r="O240" s="219"/>
      <c r="P240" s="219"/>
      <c r="AJ240" s="378" t="s">
        <v>307</v>
      </c>
      <c r="AK240" s="391"/>
      <c r="AL240" s="391"/>
      <c r="AM240" s="391"/>
      <c r="AN240" s="391"/>
      <c r="AO240" s="391"/>
      <c r="AP240" s="184" t="s">
        <v>335</v>
      </c>
      <c r="AQ240" s="184"/>
      <c r="AR240" s="184"/>
      <c r="AS240" s="184"/>
      <c r="AT240" s="184"/>
      <c r="AU240" s="184" t="s">
        <v>315</v>
      </c>
      <c r="AV240" s="184"/>
      <c r="AW240" s="184"/>
      <c r="AX240" s="184"/>
      <c r="AY240" s="184"/>
      <c r="AZ240" s="184" t="s">
        <v>337</v>
      </c>
      <c r="BA240" s="184"/>
      <c r="BB240" s="184"/>
      <c r="BC240" s="184"/>
      <c r="BD240" s="184"/>
      <c r="BE240" s="184" t="s">
        <v>338</v>
      </c>
      <c r="BF240" s="184"/>
      <c r="BG240" s="184"/>
      <c r="BH240" s="184"/>
      <c r="BI240" s="184"/>
      <c r="BJ240" s="184" t="s">
        <v>339</v>
      </c>
      <c r="BK240" s="184"/>
      <c r="BL240" s="184"/>
      <c r="BM240" s="184"/>
      <c r="BN240" s="184"/>
      <c r="BO240" s="184" t="s">
        <v>338</v>
      </c>
      <c r="BP240" s="184"/>
      <c r="BQ240" s="184"/>
      <c r="BR240" s="184"/>
      <c r="BS240" s="189"/>
    </row>
    <row r="241" spans="3:71" ht="15" x14ac:dyDescent="0.2">
      <c r="C241" s="364" t="s">
        <v>75</v>
      </c>
      <c r="D241" s="365"/>
      <c r="E241" s="366"/>
      <c r="F241" s="246"/>
      <c r="G241" s="221"/>
      <c r="H241" s="221"/>
      <c r="I241" s="221"/>
      <c r="J241" s="221"/>
      <c r="K241" s="221"/>
      <c r="L241" s="221"/>
      <c r="M241" s="363"/>
      <c r="N241" s="438"/>
      <c r="O241" s="219"/>
      <c r="P241" s="219"/>
      <c r="AJ241" s="380" t="s">
        <v>312</v>
      </c>
      <c r="AK241" s="392"/>
      <c r="AL241" s="392"/>
      <c r="AM241" s="392"/>
      <c r="AN241" s="392"/>
      <c r="AO241" s="392"/>
      <c r="AP241" s="123" t="s">
        <v>336</v>
      </c>
      <c r="AQ241" s="123"/>
      <c r="AR241" s="123"/>
      <c r="AS241" s="123"/>
      <c r="AT241" s="123"/>
      <c r="AU241" s="123" t="s">
        <v>340</v>
      </c>
      <c r="AV241" s="123"/>
      <c r="AW241" s="123"/>
      <c r="AX241" s="123"/>
      <c r="AY241" s="123"/>
      <c r="AZ241" s="123" t="s">
        <v>341</v>
      </c>
      <c r="BA241" s="123"/>
      <c r="BB241" s="123"/>
      <c r="BC241" s="123"/>
      <c r="BD241" s="123"/>
      <c r="BE241" s="123" t="s">
        <v>358</v>
      </c>
      <c r="BF241" s="123"/>
      <c r="BG241" s="123"/>
      <c r="BH241" s="123"/>
      <c r="BI241" s="123"/>
      <c r="BJ241" s="123" t="s">
        <v>342</v>
      </c>
      <c r="BK241" s="123"/>
      <c r="BL241" s="123"/>
      <c r="BM241" s="123"/>
      <c r="BN241" s="123"/>
      <c r="BO241" s="123" t="s">
        <v>343</v>
      </c>
      <c r="BP241" s="123"/>
      <c r="BQ241" s="123"/>
      <c r="BR241" s="123"/>
      <c r="BS241" s="190"/>
    </row>
    <row r="242" spans="3:71" ht="15.75" thickBot="1" x14ac:dyDescent="0.25">
      <c r="C242" s="367"/>
      <c r="D242" s="368"/>
      <c r="E242" s="369"/>
      <c r="F242" s="247"/>
      <c r="G242" s="221"/>
      <c r="H242" s="221"/>
      <c r="I242" s="221"/>
      <c r="J242" s="221"/>
      <c r="K242" s="221"/>
      <c r="L242" s="221"/>
      <c r="M242" s="363"/>
      <c r="N242" s="439"/>
      <c r="O242" s="219"/>
      <c r="P242" s="219"/>
      <c r="AJ242" s="387" t="s">
        <v>317</v>
      </c>
      <c r="AK242" s="388"/>
      <c r="AL242" s="388"/>
      <c r="AM242" s="388"/>
      <c r="AN242" s="388"/>
      <c r="AO242" s="388"/>
      <c r="AP242" s="186" t="s">
        <v>344</v>
      </c>
      <c r="AQ242" s="186"/>
      <c r="AR242" s="186"/>
      <c r="AS242" s="186"/>
      <c r="AT242" s="186"/>
      <c r="AU242" s="186" t="s">
        <v>345</v>
      </c>
      <c r="AV242" s="186"/>
      <c r="AW242" s="186"/>
      <c r="AX242" s="186"/>
      <c r="AY242" s="186"/>
      <c r="AZ242" s="186" t="s">
        <v>346</v>
      </c>
      <c r="BA242" s="186"/>
      <c r="BB242" s="186"/>
      <c r="BC242" s="186"/>
      <c r="BD242" s="186"/>
      <c r="BE242" s="186" t="s">
        <v>357</v>
      </c>
      <c r="BF242" s="186"/>
      <c r="BG242" s="186"/>
      <c r="BH242" s="186"/>
      <c r="BI242" s="186"/>
      <c r="BJ242" s="186" t="s">
        <v>347</v>
      </c>
      <c r="BK242" s="186"/>
      <c r="BL242" s="186"/>
      <c r="BM242" s="186"/>
      <c r="BN242" s="186"/>
      <c r="BO242" s="186" t="s">
        <v>348</v>
      </c>
      <c r="BP242" s="186"/>
      <c r="BQ242" s="186"/>
      <c r="BR242" s="186"/>
      <c r="BS242" s="188"/>
    </row>
    <row r="243" spans="3:71" ht="15.75" thickBot="1" x14ac:dyDescent="0.25">
      <c r="C243" s="370"/>
      <c r="D243" s="371"/>
      <c r="E243" s="372"/>
      <c r="F243" s="248"/>
      <c r="G243" s="221"/>
      <c r="H243" s="221"/>
      <c r="I243" s="221"/>
      <c r="J243" s="221"/>
      <c r="K243" s="221"/>
      <c r="L243" s="221"/>
      <c r="M243" s="363"/>
      <c r="N243" s="440"/>
      <c r="O243" s="219"/>
      <c r="P243" s="219"/>
    </row>
    <row r="244" spans="3:71" ht="15" x14ac:dyDescent="0.2">
      <c r="C244" s="364" t="s">
        <v>76</v>
      </c>
      <c r="D244" s="365"/>
      <c r="E244" s="366"/>
      <c r="F244" s="246"/>
      <c r="G244" s="221"/>
      <c r="H244" s="221"/>
      <c r="I244" s="221"/>
      <c r="J244" s="221"/>
      <c r="K244" s="221"/>
      <c r="L244" s="221"/>
      <c r="M244" s="363"/>
      <c r="N244" s="438"/>
      <c r="O244" s="219"/>
      <c r="P244" s="219"/>
    </row>
    <row r="245" spans="3:71" ht="15" x14ac:dyDescent="0.2">
      <c r="C245" s="367"/>
      <c r="D245" s="368"/>
      <c r="E245" s="369"/>
      <c r="F245" s="247"/>
      <c r="G245" s="221"/>
      <c r="H245" s="221"/>
      <c r="I245" s="221"/>
      <c r="J245" s="221"/>
      <c r="K245" s="221"/>
      <c r="L245" s="221"/>
      <c r="M245" s="363"/>
      <c r="N245" s="439"/>
      <c r="O245" s="219"/>
      <c r="P245" s="219"/>
      <c r="AJ245" s="389" t="s">
        <v>349</v>
      </c>
      <c r="AK245" s="390"/>
      <c r="AL245" s="390"/>
      <c r="BB245" s="395" t="s">
        <v>350</v>
      </c>
      <c r="BC245" s="395"/>
      <c r="BD245" s="395"/>
    </row>
    <row r="246" spans="3:71" ht="15.75" thickBot="1" x14ac:dyDescent="0.25">
      <c r="C246" s="370"/>
      <c r="D246" s="371"/>
      <c r="E246" s="372"/>
      <c r="F246" s="248"/>
      <c r="G246" s="221"/>
      <c r="H246" s="221"/>
      <c r="I246" s="221"/>
      <c r="J246" s="221"/>
      <c r="K246" s="221"/>
      <c r="L246" s="221"/>
      <c r="M246" s="363"/>
      <c r="N246" s="440"/>
      <c r="O246" s="219"/>
      <c r="P246" s="219"/>
      <c r="AJ246" s="194"/>
      <c r="AK246" s="195"/>
      <c r="AL246" s="195" t="s">
        <v>351</v>
      </c>
      <c r="AM246" s="187"/>
      <c r="AN246" s="187"/>
      <c r="AO246" s="187"/>
      <c r="AP246" s="106"/>
      <c r="BC246" s="195" t="s">
        <v>351</v>
      </c>
    </row>
    <row r="247" spans="3:71" ht="15" x14ac:dyDescent="0.2">
      <c r="C247" s="416" t="s">
        <v>77</v>
      </c>
      <c r="D247" s="417"/>
      <c r="E247" s="418"/>
      <c r="F247" s="246"/>
      <c r="G247" s="221"/>
      <c r="H247" s="221"/>
      <c r="I247" s="221"/>
      <c r="J247" s="221"/>
      <c r="K247" s="221"/>
      <c r="L247" s="221"/>
      <c r="M247" s="363"/>
      <c r="N247" s="438"/>
      <c r="O247" s="219"/>
      <c r="P247" s="219"/>
      <c r="AL247" s="201">
        <v>4</v>
      </c>
      <c r="AM247" s="378" t="s">
        <v>141</v>
      </c>
      <c r="AN247" s="379"/>
      <c r="AO247" s="106"/>
      <c r="AP247" s="106"/>
      <c r="BB247" s="209">
        <v>13</v>
      </c>
      <c r="BC247" s="396" t="s">
        <v>141</v>
      </c>
      <c r="BD247" s="397"/>
    </row>
    <row r="248" spans="3:71" ht="15" x14ac:dyDescent="0.2">
      <c r="C248" s="419"/>
      <c r="D248" s="363"/>
      <c r="E248" s="420"/>
      <c r="F248" s="247"/>
      <c r="G248" s="221"/>
      <c r="H248" s="221"/>
      <c r="I248" s="221"/>
      <c r="J248" s="221"/>
      <c r="K248" s="221"/>
      <c r="L248" s="221"/>
      <c r="M248" s="363"/>
      <c r="N248" s="439"/>
      <c r="O248" s="219"/>
      <c r="P248" s="219"/>
      <c r="AL248" s="202">
        <v>8</v>
      </c>
      <c r="AM248" s="380" t="s">
        <v>140</v>
      </c>
      <c r="AN248" s="381"/>
      <c r="AO248" s="106"/>
      <c r="AP248" s="106"/>
      <c r="BB248" s="210">
        <v>17</v>
      </c>
      <c r="BC248" s="398" t="s">
        <v>140</v>
      </c>
      <c r="BD248" s="399"/>
    </row>
    <row r="249" spans="3:71" ht="15.75" thickBot="1" x14ac:dyDescent="0.25">
      <c r="C249" s="421"/>
      <c r="D249" s="413"/>
      <c r="E249" s="422"/>
      <c r="F249" s="248"/>
      <c r="G249" s="221"/>
      <c r="H249" s="221"/>
      <c r="I249" s="221"/>
      <c r="J249" s="221"/>
      <c r="K249" s="221"/>
      <c r="L249" s="221"/>
      <c r="M249" s="363"/>
      <c r="N249" s="440"/>
      <c r="O249" s="219"/>
      <c r="P249" s="219"/>
      <c r="AL249" s="203">
        <v>12</v>
      </c>
      <c r="AM249" s="378" t="s">
        <v>298</v>
      </c>
      <c r="AN249" s="382"/>
      <c r="AO249" s="106"/>
      <c r="AP249" s="106"/>
      <c r="BB249" s="211">
        <v>20</v>
      </c>
      <c r="BC249" s="396" t="s">
        <v>298</v>
      </c>
      <c r="BD249" s="400"/>
    </row>
    <row r="250" spans="3:71" ht="15" x14ac:dyDescent="0.2">
      <c r="C250" s="364" t="s">
        <v>78</v>
      </c>
      <c r="D250" s="365"/>
      <c r="E250" s="366"/>
      <c r="F250" s="246"/>
      <c r="G250" s="221"/>
      <c r="H250" s="221"/>
      <c r="I250" s="221"/>
      <c r="J250" s="221"/>
      <c r="K250" s="221"/>
      <c r="L250" s="221"/>
      <c r="M250" s="363"/>
      <c r="N250" s="438"/>
      <c r="O250" s="219"/>
      <c r="P250" s="219"/>
      <c r="AL250" s="202">
        <v>14</v>
      </c>
      <c r="AM250" s="380" t="s">
        <v>303</v>
      </c>
      <c r="AN250" s="381"/>
      <c r="AO250" s="106"/>
      <c r="AP250" s="106"/>
      <c r="AX250" s="42" t="s">
        <v>138</v>
      </c>
      <c r="BB250" s="210">
        <v>23</v>
      </c>
      <c r="BC250" s="398" t="s">
        <v>303</v>
      </c>
      <c r="BD250" s="399"/>
    </row>
    <row r="251" spans="3:71" ht="15" x14ac:dyDescent="0.2">
      <c r="C251" s="367"/>
      <c r="D251" s="368"/>
      <c r="E251" s="369"/>
      <c r="F251" s="247"/>
      <c r="G251" s="221"/>
      <c r="H251" s="221"/>
      <c r="I251" s="221"/>
      <c r="J251" s="221"/>
      <c r="K251" s="221"/>
      <c r="L251" s="221"/>
      <c r="M251" s="363"/>
      <c r="N251" s="439"/>
      <c r="O251" s="219"/>
      <c r="P251" s="219"/>
      <c r="AL251" s="203">
        <v>14</v>
      </c>
      <c r="AM251" s="378" t="s">
        <v>307</v>
      </c>
      <c r="AN251" s="382"/>
      <c r="AO251" s="106"/>
      <c r="AP251" s="106"/>
      <c r="AV251" s="42" t="s">
        <v>133</v>
      </c>
      <c r="AX251" s="216" t="str">
        <f>F98</f>
        <v>-</v>
      </c>
      <c r="BB251" s="211">
        <v>26</v>
      </c>
      <c r="BC251" s="396" t="s">
        <v>307</v>
      </c>
      <c r="BD251" s="400"/>
    </row>
    <row r="252" spans="3:71" ht="15.75" thickBot="1" x14ac:dyDescent="0.25">
      <c r="C252" s="370"/>
      <c r="D252" s="371"/>
      <c r="E252" s="372"/>
      <c r="F252" s="248"/>
      <c r="G252" s="221"/>
      <c r="H252" s="221"/>
      <c r="I252" s="221"/>
      <c r="J252" s="221"/>
      <c r="K252" s="221"/>
      <c r="L252" s="221"/>
      <c r="M252" s="363"/>
      <c r="N252" s="440"/>
      <c r="O252" s="219"/>
      <c r="P252" s="219"/>
      <c r="AL252" s="202">
        <v>20</v>
      </c>
      <c r="AM252" s="380" t="s">
        <v>312</v>
      </c>
      <c r="AN252" s="381"/>
      <c r="AO252" s="106"/>
      <c r="AP252" s="106"/>
      <c r="AT252" s="42" t="s">
        <v>132</v>
      </c>
      <c r="AV252" s="196" t="str">
        <f>N9</f>
        <v>-</v>
      </c>
      <c r="BB252" s="210">
        <v>29</v>
      </c>
      <c r="BC252" s="398" t="s">
        <v>312</v>
      </c>
      <c r="BD252" s="399"/>
    </row>
    <row r="253" spans="3:71" ht="15.75" thickBot="1" x14ac:dyDescent="0.25">
      <c r="C253" s="416" t="s">
        <v>79</v>
      </c>
      <c r="D253" s="417"/>
      <c r="E253" s="418"/>
      <c r="F253" s="246"/>
      <c r="G253" s="221"/>
      <c r="H253" s="221"/>
      <c r="I253" s="221"/>
      <c r="J253" s="221"/>
      <c r="K253" s="221"/>
      <c r="L253" s="221"/>
      <c r="M253" s="363"/>
      <c r="N253" s="438"/>
      <c r="O253" s="219"/>
      <c r="P253" s="219"/>
      <c r="AL253" s="204">
        <v>26</v>
      </c>
      <c r="AM253" s="378" t="s">
        <v>317</v>
      </c>
      <c r="AN253" s="382"/>
      <c r="AO253" s="106"/>
      <c r="AP253" s="106"/>
      <c r="AT253" s="42">
        <f>IF(L9="feminino",0,1)</f>
        <v>1</v>
      </c>
      <c r="BB253" s="212">
        <v>33</v>
      </c>
      <c r="BC253" s="396" t="s">
        <v>317</v>
      </c>
      <c r="BD253" s="400"/>
    </row>
    <row r="254" spans="3:71" ht="15.75" thickBot="1" x14ac:dyDescent="0.25">
      <c r="C254" s="419"/>
      <c r="D254" s="363"/>
      <c r="E254" s="420"/>
      <c r="F254" s="247"/>
      <c r="G254" s="221"/>
      <c r="H254" s="221"/>
      <c r="I254" s="221"/>
      <c r="J254" s="221"/>
      <c r="K254" s="221"/>
      <c r="L254" s="221"/>
      <c r="M254" s="363"/>
      <c r="N254" s="439"/>
      <c r="O254" s="219"/>
      <c r="P254" s="219"/>
      <c r="AN254" s="106"/>
      <c r="AO254" s="106"/>
      <c r="AP254" s="106"/>
    </row>
    <row r="255" spans="3:71" ht="15.75" thickBot="1" x14ac:dyDescent="0.25">
      <c r="C255" s="421"/>
      <c r="D255" s="413"/>
      <c r="E255" s="422"/>
      <c r="F255" s="248"/>
      <c r="G255" s="221"/>
      <c r="H255" s="221"/>
      <c r="I255" s="221"/>
      <c r="J255" s="221"/>
      <c r="K255" s="221"/>
      <c r="L255" s="221"/>
      <c r="M255" s="363"/>
      <c r="N255" s="440"/>
      <c r="O255" s="219"/>
      <c r="P255" s="219"/>
      <c r="AJ255" s="194"/>
      <c r="AK255" s="195"/>
      <c r="AL255" s="192" t="s">
        <v>352</v>
      </c>
      <c r="AN255" s="187"/>
      <c r="AO255" s="187"/>
      <c r="AP255" s="106"/>
      <c r="BC255" s="192" t="s">
        <v>352</v>
      </c>
    </row>
    <row r="256" spans="3:71" ht="15" x14ac:dyDescent="0.2">
      <c r="C256" s="367" t="s">
        <v>80</v>
      </c>
      <c r="D256" s="368"/>
      <c r="E256" s="368"/>
      <c r="F256" s="246"/>
      <c r="G256" s="221"/>
      <c r="H256" s="221"/>
      <c r="I256" s="221"/>
      <c r="J256" s="221"/>
      <c r="K256" s="221"/>
      <c r="L256" s="221"/>
      <c r="M256" s="363"/>
      <c r="N256" s="438"/>
      <c r="O256" s="219"/>
      <c r="P256" s="219"/>
      <c r="AL256" s="197">
        <v>8</v>
      </c>
      <c r="AM256" s="378" t="s">
        <v>141</v>
      </c>
      <c r="AN256" s="379"/>
      <c r="AO256" s="119"/>
      <c r="AP256" s="217"/>
      <c r="AT256" s="79"/>
      <c r="AU256" s="79"/>
      <c r="AV256" s="79"/>
      <c r="AW256" s="79"/>
      <c r="BB256" s="205">
        <v>14</v>
      </c>
      <c r="BC256" s="378" t="s">
        <v>141</v>
      </c>
      <c r="BD256" s="379"/>
    </row>
    <row r="257" spans="3:56" ht="15" x14ac:dyDescent="0.2">
      <c r="C257" s="367"/>
      <c r="D257" s="368"/>
      <c r="E257" s="368"/>
      <c r="F257" s="247"/>
      <c r="G257" s="221"/>
      <c r="H257" s="221"/>
      <c r="I257" s="221"/>
      <c r="J257" s="221"/>
      <c r="K257" s="221"/>
      <c r="L257" s="221"/>
      <c r="M257" s="363"/>
      <c r="N257" s="439"/>
      <c r="O257" s="219"/>
      <c r="P257" s="219"/>
      <c r="AL257" s="198">
        <v>12</v>
      </c>
      <c r="AM257" s="380" t="s">
        <v>140</v>
      </c>
      <c r="AN257" s="381"/>
      <c r="AO257" s="119"/>
      <c r="AP257" s="217"/>
      <c r="AT257" s="79"/>
      <c r="AU257" s="79" t="s">
        <v>359</v>
      </c>
      <c r="AV257" s="79"/>
      <c r="AW257" s="79"/>
      <c r="BB257" s="206">
        <v>18</v>
      </c>
      <c r="BC257" s="380" t="s">
        <v>140</v>
      </c>
      <c r="BD257" s="381"/>
    </row>
    <row r="258" spans="3:56" ht="15.75" thickBot="1" x14ac:dyDescent="0.25">
      <c r="C258" s="367"/>
      <c r="D258" s="368"/>
      <c r="E258" s="368"/>
      <c r="F258" s="248"/>
      <c r="G258" s="221"/>
      <c r="H258" s="221"/>
      <c r="I258" s="221"/>
      <c r="J258" s="221"/>
      <c r="K258" s="221"/>
      <c r="L258" s="221"/>
      <c r="M258" s="363"/>
      <c r="N258" s="440"/>
      <c r="O258" s="219"/>
      <c r="P258" s="219"/>
      <c r="Z258" t="s">
        <v>90</v>
      </c>
      <c r="AL258" s="199">
        <v>16</v>
      </c>
      <c r="AM258" s="378" t="s">
        <v>298</v>
      </c>
      <c r="AN258" s="382"/>
      <c r="AO258" s="119"/>
      <c r="AP258" s="217"/>
      <c r="AT258" s="79"/>
      <c r="AU258" s="386" t="e">
        <f>IF(AND(AT253=0,AV252&lt;=25),VLOOKUP(AX251,BB247:BD253,2,TRUE),IF(AND(AT253=0,AV252&lt;=35),VLOOKUP(AX251,BB256:BD262,2,TRUE),IF(AND(AT253=0,AV252&lt;=45),VLOOKUP(AX251,BB265:BD271,2,TRUE),IF(AND(AT253=0,AV252&lt;=55),VLOOKUP(AX251,BB274:BD280,2,TRUE),IF(AND(AT253=0,AV252&lt;=65),VLOOKUP(AX251,BB283:BD289,2,TRUE),IF(AND(AT253=0,AV252&gt;=65),VLOOKUP(AX251,BB292:BD298,2,TRUE),IF(AND(AT253=1,AV252&lt;=25),VLOOKUP(AX251,AL247:AN253,2,TRUE),IF(AND(AT253=1,AV252&lt;=35),VLOOKUP(AX251,AL256:AN262,2,TRUE),IF(AND(AT253=1,AV252&lt;=45),VLOOKUP(AX251,AL265:AN271,2,TRUE),IF(AND(AT253=1,AV252&lt;=55),VLOOKUP(AX251,AL274:AN280,2,TRUE),IF(AND(AT253=1,AV252&lt;=65),VLOOKUP(AX251,AL283:AN289,2,TRUE),IF(AND(AT253=1,AV252&gt;=65),VLOOKUP(AX251,AL292:AN298,2,TRUE),"-"))))))))))))</f>
        <v>#N/A</v>
      </c>
      <c r="AV258" s="386"/>
      <c r="AW258" s="79"/>
      <c r="BB258" s="207">
        <v>21</v>
      </c>
      <c r="BC258" s="378" t="s">
        <v>298</v>
      </c>
      <c r="BD258" s="382"/>
    </row>
    <row r="259" spans="3:56" ht="15" x14ac:dyDescent="0.2">
      <c r="C259" s="364" t="s">
        <v>81</v>
      </c>
      <c r="D259" s="365"/>
      <c r="E259" s="366"/>
      <c r="F259" s="246"/>
      <c r="G259" s="221"/>
      <c r="H259" s="221"/>
      <c r="I259" s="221"/>
      <c r="J259" s="221"/>
      <c r="K259" s="221"/>
      <c r="L259" s="221"/>
      <c r="M259" s="363"/>
      <c r="N259" s="438"/>
      <c r="O259" s="219"/>
      <c r="P259" s="219"/>
      <c r="Y259" s="310">
        <v>0</v>
      </c>
      <c r="Z259" t="s">
        <v>87</v>
      </c>
      <c r="AL259" s="198">
        <v>18</v>
      </c>
      <c r="AM259" s="380" t="s">
        <v>303</v>
      </c>
      <c r="AN259" s="381"/>
      <c r="AO259" s="119"/>
      <c r="AP259" s="217"/>
      <c r="AT259" s="79"/>
      <c r="AU259" s="79"/>
      <c r="AV259" s="79"/>
      <c r="AW259" s="79"/>
      <c r="BB259" s="206">
        <v>24</v>
      </c>
      <c r="BC259" s="380" t="s">
        <v>303</v>
      </c>
      <c r="BD259" s="381"/>
    </row>
    <row r="260" spans="3:56" ht="15" x14ac:dyDescent="0.2">
      <c r="C260" s="367"/>
      <c r="D260" s="368"/>
      <c r="E260" s="369"/>
      <c r="F260" s="247"/>
      <c r="G260" s="221"/>
      <c r="H260" s="221"/>
      <c r="I260" s="221"/>
      <c r="J260" s="221"/>
      <c r="K260" s="221"/>
      <c r="L260" s="221"/>
      <c r="M260" s="363"/>
      <c r="N260" s="439"/>
      <c r="O260" s="219"/>
      <c r="P260" s="219"/>
      <c r="Y260" s="310">
        <v>21</v>
      </c>
      <c r="Z260" t="s">
        <v>63</v>
      </c>
      <c r="AL260" s="199">
        <v>22</v>
      </c>
      <c r="AM260" s="378" t="s">
        <v>307</v>
      </c>
      <c r="AN260" s="382"/>
      <c r="AO260" s="119"/>
      <c r="AP260" s="217"/>
      <c r="BB260" s="207">
        <v>27</v>
      </c>
      <c r="BC260" s="378" t="s">
        <v>307</v>
      </c>
      <c r="BD260" s="382"/>
    </row>
    <row r="261" spans="3:56" ht="15.75" thickBot="1" x14ac:dyDescent="0.25">
      <c r="C261" s="370"/>
      <c r="D261" s="371"/>
      <c r="E261" s="372"/>
      <c r="F261" s="248"/>
      <c r="G261" s="221"/>
      <c r="H261" s="221"/>
      <c r="I261" s="221"/>
      <c r="J261" s="221"/>
      <c r="K261" s="221"/>
      <c r="L261" s="221"/>
      <c r="M261" s="363"/>
      <c r="N261" s="440"/>
      <c r="O261" s="219"/>
      <c r="P261" s="219"/>
      <c r="Y261" s="310">
        <v>31</v>
      </c>
      <c r="Z261" t="s">
        <v>85</v>
      </c>
      <c r="AL261" s="198">
        <v>24</v>
      </c>
      <c r="AM261" s="380" t="s">
        <v>312</v>
      </c>
      <c r="AN261" s="381"/>
      <c r="AO261" s="119"/>
      <c r="AP261" s="217"/>
      <c r="BB261" s="206">
        <v>31</v>
      </c>
      <c r="BC261" s="380" t="s">
        <v>312</v>
      </c>
      <c r="BD261" s="381"/>
    </row>
    <row r="262" spans="3:56" ht="15.75" thickBot="1" x14ac:dyDescent="0.25">
      <c r="C262" s="367" t="s">
        <v>82</v>
      </c>
      <c r="D262" s="368"/>
      <c r="E262" s="368"/>
      <c r="F262" s="246"/>
      <c r="G262" s="221"/>
      <c r="H262" s="221"/>
      <c r="I262" s="221"/>
      <c r="J262" s="221"/>
      <c r="K262" s="221"/>
      <c r="L262" s="221"/>
      <c r="M262" s="363"/>
      <c r="N262" s="458"/>
      <c r="O262" s="219"/>
      <c r="P262" s="219"/>
      <c r="Y262" s="310">
        <v>41</v>
      </c>
      <c r="Z262" t="s">
        <v>86</v>
      </c>
      <c r="AL262" s="200">
        <v>28</v>
      </c>
      <c r="AM262" s="378" t="s">
        <v>317</v>
      </c>
      <c r="AN262" s="382"/>
      <c r="AO262" s="119"/>
      <c r="AP262" s="217"/>
      <c r="BB262" s="208">
        <v>36</v>
      </c>
      <c r="BC262" s="378" t="s">
        <v>317</v>
      </c>
      <c r="BD262" s="382"/>
    </row>
    <row r="263" spans="3:56" ht="15.75" thickBot="1" x14ac:dyDescent="0.25">
      <c r="C263" s="367"/>
      <c r="D263" s="368"/>
      <c r="E263" s="368"/>
      <c r="F263" s="247"/>
      <c r="G263" s="221"/>
      <c r="H263" s="221"/>
      <c r="I263" s="221"/>
      <c r="J263" s="221"/>
      <c r="K263" s="221"/>
      <c r="L263" s="221"/>
      <c r="M263" s="363"/>
      <c r="N263" s="458"/>
      <c r="O263" s="219"/>
      <c r="P263" s="219"/>
      <c r="Y263" s="310">
        <v>51</v>
      </c>
      <c r="Z263" t="s">
        <v>88</v>
      </c>
      <c r="AN263" s="106"/>
      <c r="AO263" s="106"/>
      <c r="AP263" s="106"/>
    </row>
    <row r="264" spans="3:56" ht="15.75" thickBot="1" x14ac:dyDescent="0.25">
      <c r="C264" s="370"/>
      <c r="D264" s="371"/>
      <c r="E264" s="371"/>
      <c r="F264" s="282"/>
      <c r="G264" s="279"/>
      <c r="H264" s="279"/>
      <c r="I264" s="279"/>
      <c r="J264" s="279"/>
      <c r="K264" s="279"/>
      <c r="L264" s="279"/>
      <c r="M264" s="413"/>
      <c r="N264" s="459"/>
      <c r="O264" s="219"/>
      <c r="P264" s="219"/>
      <c r="Y264" s="310">
        <v>60</v>
      </c>
      <c r="Z264" t="s">
        <v>89</v>
      </c>
      <c r="AJ264" s="194"/>
      <c r="AK264" s="195"/>
      <c r="AL264" s="192" t="s">
        <v>353</v>
      </c>
      <c r="AN264" s="187"/>
      <c r="AO264" s="187"/>
      <c r="AP264" s="106"/>
      <c r="BB264" s="192" t="s">
        <v>353</v>
      </c>
    </row>
    <row r="265" spans="3:56" ht="15" x14ac:dyDescent="0.2"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AL265" s="205">
        <v>10</v>
      </c>
      <c r="AM265" s="378" t="s">
        <v>141</v>
      </c>
      <c r="AN265" s="379"/>
      <c r="AO265" s="106"/>
      <c r="AP265" s="106"/>
      <c r="BB265" s="205">
        <v>16</v>
      </c>
      <c r="BC265" s="378" t="s">
        <v>141</v>
      </c>
      <c r="BD265" s="379"/>
    </row>
    <row r="266" spans="3:56" ht="15" x14ac:dyDescent="0.2">
      <c r="C266" s="410" t="s">
        <v>84</v>
      </c>
      <c r="D266" s="410"/>
      <c r="E266" s="410"/>
      <c r="F266" s="410"/>
      <c r="G266" s="411" t="str">
        <f>IF(M266&gt;0,VLOOKUP(M266,Y259:AA264,2,TRUE),"-")</f>
        <v>-</v>
      </c>
      <c r="H266" s="412"/>
      <c r="I266" s="219"/>
      <c r="J266" s="219"/>
      <c r="K266" s="410" t="s">
        <v>83</v>
      </c>
      <c r="L266" s="410"/>
      <c r="M266" s="446">
        <f>SUM(N220:N264)</f>
        <v>0</v>
      </c>
      <c r="N266" s="431"/>
      <c r="O266" s="219"/>
      <c r="P266" s="219"/>
      <c r="AL266" s="206">
        <v>16</v>
      </c>
      <c r="AM266" s="380" t="s">
        <v>140</v>
      </c>
      <c r="AN266" s="381"/>
      <c r="AO266" s="106"/>
      <c r="AP266" s="106"/>
      <c r="AW266" s="79" t="str">
        <f>IF(AND(CQ23=0,CS22&lt;=19),VLOOKUP(CU21,CP27:CQ31,2,TRUE),IF(AND(CQ23=0,CS22&lt;=29),VLOOKUP(CU21,CP34:CQ38,2,TRUE),IF(AND(CQ23=0,CS22&lt;=39),VLOOKUP(CU21,CP40:CQ44,2,TRUE),IF(AND(CQ23=0,CS22&lt;=49),VLOOKUP(CU21,CP46:CQ50,2,TRUE),IF(AND(CQ23=0,CS22&lt;=59),VLOOKUP(CU21,CP52:CQ56,2,TRUE),IF(AND(CQ23=0,CS22&lt;=69),VLOOKUP(CU21,CP59:CQ63,2,TRUE),IF(AND(CQ23=1,CS22&lt;=19),VLOOKUP(CU21,CS33:CT37,2,TRUE),IF(AND(CQ23=1,CS22&lt;=29),VLOOKUP(CU21,CS40:CT44,2,TRUE),IF(AND(CQ23=1,CS22&lt;=39),VLOOKUP(CU21,CS46:CT50,2,TRUE),IF(AND(CQ23=1,CS22&lt;=49),VLOOKUP(CU21,CS52:CT56,2,TRUE),IF(AND(CQ23=1,CS22&lt;=59),VLOOKUP(CU21,CS58:CT62,2,TRUE),IF(AND(CQ23=1,CS22&lt;=69),VLOOKUP(CU21,CS65:CT69,2,TRUE),"-"))))))))))))</f>
        <v>-</v>
      </c>
      <c r="BB266" s="206">
        <v>20</v>
      </c>
      <c r="BC266" s="380" t="s">
        <v>140</v>
      </c>
      <c r="BD266" s="381"/>
    </row>
    <row r="267" spans="3:56" ht="15" x14ac:dyDescent="0.2"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AL267" s="207">
        <v>19</v>
      </c>
      <c r="AM267" s="378" t="s">
        <v>298</v>
      </c>
      <c r="AN267" s="382"/>
      <c r="AO267" s="106"/>
      <c r="AP267" s="106"/>
      <c r="BB267" s="207">
        <v>24</v>
      </c>
      <c r="BC267" s="378" t="s">
        <v>298</v>
      </c>
      <c r="BD267" s="382"/>
    </row>
    <row r="268" spans="3:56" ht="15" x14ac:dyDescent="0.2"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AL268" s="206">
        <v>21</v>
      </c>
      <c r="AM268" s="380" t="s">
        <v>303</v>
      </c>
      <c r="AN268" s="381"/>
      <c r="AO268" s="106"/>
      <c r="AP268" s="106"/>
      <c r="BB268" s="206">
        <v>27</v>
      </c>
      <c r="BC268" s="380" t="s">
        <v>303</v>
      </c>
      <c r="BD268" s="381"/>
    </row>
    <row r="269" spans="3:56" ht="15" x14ac:dyDescent="0.2">
      <c r="C269" s="362" t="s">
        <v>213</v>
      </c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AL269" s="207">
        <v>24</v>
      </c>
      <c r="AM269" s="378" t="s">
        <v>307</v>
      </c>
      <c r="AN269" s="382"/>
      <c r="AO269" s="106"/>
      <c r="AP269" s="106"/>
      <c r="BB269" s="207">
        <v>30</v>
      </c>
      <c r="BC269" s="378" t="s">
        <v>307</v>
      </c>
      <c r="BD269" s="382"/>
    </row>
    <row r="270" spans="3:56" ht="15" x14ac:dyDescent="0.2">
      <c r="C270" s="238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7"/>
      <c r="AL270" s="206">
        <v>27</v>
      </c>
      <c r="AM270" s="380" t="s">
        <v>312</v>
      </c>
      <c r="AN270" s="381"/>
      <c r="AO270" s="106"/>
      <c r="AP270" s="106"/>
      <c r="AU270" t="str">
        <f>IF(AND(CO27=0,CQ26&lt;=19),VLOOKUP(CS25,CN31:CO35,2,TRUE),IF(AND(CO27=0,CQ26&lt;=29),VLOOKUP(CS25,CN38:CO42,2,TRUE),IF(AND(CO27=0,CQ26&lt;=39),VLOOKUP(CS25,CN44:CO48,2,TRUE),IF(AND(CO27=0,CQ26&lt;=49),VLOOKUP(CS25,CN50:CO54,2,TRUE),IF(AND(CO27=0,CQ26&lt;=59),VLOOKUP(CS25,CN56:CO60,2,TRUE),IF(AND(CO27=0,CQ26&lt;=69),VLOOKUP(CS25,CN63:CO67,2,TRUE),IF(AND(CO27=1,CQ26&lt;=19),VLOOKUP(CS25,CQ37:CR41,2,TRUE),IF(AND(CO27=1,CQ26&lt;=29),VLOOKUP(CS25,CQ44:CR48,2,TRUE),IF(AND(CO27=1,CQ26&lt;=39),VLOOKUP(CS25,CQ50:CR54,2,TRUE),IF(AND(CO27=1,CQ26&lt;=49),VLOOKUP(CS25,CQ56:CR60,2,TRUE),IF(AND(CO27=1,CQ26&lt;=59),VLOOKUP(CS25,CQ62:CR66,2,TRUE),IF(AND(CO27=1,CQ26&lt;=69),VLOOKUP(CS25,CQ69:CR73,2,TRUE),"-"))))))))))))</f>
        <v>-</v>
      </c>
      <c r="BB270" s="206">
        <v>33</v>
      </c>
      <c r="BC270" s="380" t="s">
        <v>312</v>
      </c>
      <c r="BD270" s="381"/>
    </row>
    <row r="271" spans="3:56" ht="15.75" thickBot="1" x14ac:dyDescent="0.25">
      <c r="C271" s="240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78"/>
      <c r="AL271" s="208">
        <v>30</v>
      </c>
      <c r="AM271" s="378" t="s">
        <v>317</v>
      </c>
      <c r="AN271" s="382"/>
      <c r="AO271" s="106"/>
      <c r="AP271" s="106"/>
      <c r="BB271" s="208">
        <v>38</v>
      </c>
      <c r="BC271" s="378" t="s">
        <v>317</v>
      </c>
      <c r="BD271" s="382"/>
    </row>
    <row r="272" spans="3:56" ht="15.75" thickBot="1" x14ac:dyDescent="0.25">
      <c r="C272" s="240"/>
      <c r="D272" s="221"/>
      <c r="E272" s="221"/>
      <c r="F272" s="221"/>
      <c r="G272" s="221"/>
      <c r="H272" s="377" t="s">
        <v>149</v>
      </c>
      <c r="I272" s="377"/>
      <c r="J272" s="377"/>
      <c r="K272" s="377"/>
      <c r="L272" s="313"/>
      <c r="M272" s="221"/>
      <c r="N272" s="221"/>
      <c r="O272" s="221"/>
      <c r="P272" s="278"/>
      <c r="AN272" s="106"/>
      <c r="AO272" s="106"/>
      <c r="AP272" s="106"/>
    </row>
    <row r="273" spans="3:56" ht="15.75" thickBot="1" x14ac:dyDescent="0.25">
      <c r="C273" s="240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78"/>
      <c r="AJ273" s="194"/>
      <c r="AK273" s="195"/>
      <c r="AL273" s="192" t="s">
        <v>354</v>
      </c>
      <c r="AN273" s="187"/>
      <c r="AO273" s="187"/>
      <c r="AP273" s="106"/>
      <c r="BB273" s="192" t="s">
        <v>354</v>
      </c>
    </row>
    <row r="274" spans="3:56" ht="15" x14ac:dyDescent="0.2">
      <c r="C274" s="240"/>
      <c r="D274" s="221"/>
      <c r="E274" s="221"/>
      <c r="F274" s="221"/>
      <c r="G274" s="221"/>
      <c r="H274" s="221"/>
      <c r="I274" s="221"/>
      <c r="J274" s="307" t="s">
        <v>150</v>
      </c>
      <c r="K274" s="221"/>
      <c r="L274" s="232" t="str">
        <f>IF(L272="","-",'Avaliação Física 6'!CH20)</f>
        <v>-</v>
      </c>
      <c r="M274" s="221"/>
      <c r="N274" s="221"/>
      <c r="O274" s="221"/>
      <c r="P274" s="278"/>
      <c r="AL274" s="205">
        <v>12</v>
      </c>
      <c r="AM274" s="378" t="s">
        <v>141</v>
      </c>
      <c r="AN274" s="379"/>
      <c r="AO274" s="106"/>
      <c r="AP274" s="106"/>
      <c r="BB274" s="205">
        <v>14</v>
      </c>
      <c r="BC274" s="378" t="s">
        <v>141</v>
      </c>
      <c r="BD274" s="379"/>
    </row>
    <row r="275" spans="3:56" ht="15" x14ac:dyDescent="0.2">
      <c r="C275" s="240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78"/>
      <c r="AL275" s="206">
        <v>18</v>
      </c>
      <c r="AM275" s="380" t="s">
        <v>140</v>
      </c>
      <c r="AN275" s="381"/>
      <c r="AO275" s="106"/>
      <c r="AP275" s="106"/>
      <c r="BB275" s="206">
        <v>23</v>
      </c>
      <c r="BC275" s="380" t="s">
        <v>140</v>
      </c>
      <c r="BD275" s="381"/>
    </row>
    <row r="276" spans="3:56" ht="15" x14ac:dyDescent="0.2">
      <c r="C276" s="241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80"/>
      <c r="AL276" s="207">
        <v>21</v>
      </c>
      <c r="AM276" s="378" t="s">
        <v>298</v>
      </c>
      <c r="AN276" s="382"/>
      <c r="AO276" s="106"/>
      <c r="AP276" s="106"/>
      <c r="BB276" s="207">
        <v>26</v>
      </c>
      <c r="BC276" s="378" t="s">
        <v>298</v>
      </c>
      <c r="BD276" s="382"/>
    </row>
    <row r="277" spans="3:56" ht="15" x14ac:dyDescent="0.2">
      <c r="AL277" s="206">
        <v>24</v>
      </c>
      <c r="AM277" s="380" t="s">
        <v>303</v>
      </c>
      <c r="AN277" s="381"/>
      <c r="AO277" s="106"/>
      <c r="AP277" s="106"/>
      <c r="BB277" s="206">
        <v>29</v>
      </c>
      <c r="BC277" s="380" t="s">
        <v>303</v>
      </c>
      <c r="BD277" s="381"/>
    </row>
    <row r="278" spans="3:56" ht="15" x14ac:dyDescent="0.2">
      <c r="C278" s="362" t="s">
        <v>214</v>
      </c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AL278" s="207">
        <v>26</v>
      </c>
      <c r="AM278" s="378" t="s">
        <v>307</v>
      </c>
      <c r="AN278" s="382"/>
      <c r="AO278" s="106"/>
      <c r="AP278" s="106"/>
      <c r="BB278" s="207">
        <v>32</v>
      </c>
      <c r="BC278" s="378" t="s">
        <v>307</v>
      </c>
      <c r="BD278" s="382"/>
    </row>
    <row r="279" spans="3:56" ht="15" x14ac:dyDescent="0.2">
      <c r="C279" s="238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7"/>
      <c r="AL279" s="206">
        <v>28</v>
      </c>
      <c r="AM279" s="380" t="s">
        <v>312</v>
      </c>
      <c r="AN279" s="381"/>
      <c r="AO279" s="106"/>
      <c r="AP279" s="106"/>
      <c r="BB279" s="206">
        <v>35</v>
      </c>
      <c r="BC279" s="380" t="s">
        <v>312</v>
      </c>
      <c r="BD279" s="381"/>
    </row>
    <row r="280" spans="3:56" ht="15.75" thickBot="1" x14ac:dyDescent="0.25">
      <c r="C280" s="240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78"/>
      <c r="AL280" s="208">
        <v>32</v>
      </c>
      <c r="AM280" s="378" t="s">
        <v>317</v>
      </c>
      <c r="AN280" s="382"/>
      <c r="AO280" s="106"/>
      <c r="AP280" s="106"/>
      <c r="BB280" s="208">
        <v>39</v>
      </c>
      <c r="BC280" s="378" t="s">
        <v>317</v>
      </c>
      <c r="BD280" s="382"/>
    </row>
    <row r="281" spans="3:56" ht="15.75" thickBot="1" x14ac:dyDescent="0.25">
      <c r="C281" s="240"/>
      <c r="D281" s="221"/>
      <c r="E281" s="221"/>
      <c r="F281" s="221"/>
      <c r="G281" s="221"/>
      <c r="H281" s="377" t="s">
        <v>149</v>
      </c>
      <c r="I281" s="377"/>
      <c r="J281" s="377"/>
      <c r="K281" s="377"/>
      <c r="L281" s="313"/>
      <c r="M281" s="221"/>
      <c r="N281" s="221"/>
      <c r="O281" s="221"/>
      <c r="P281" s="278"/>
      <c r="AN281" s="106"/>
      <c r="AO281" s="106"/>
      <c r="AP281" s="106"/>
    </row>
    <row r="282" spans="3:56" ht="15.75" thickBot="1" x14ac:dyDescent="0.25">
      <c r="C282" s="240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78"/>
      <c r="AJ282" s="194"/>
      <c r="AK282" s="195"/>
      <c r="AL282" s="192" t="s">
        <v>355</v>
      </c>
      <c r="AN282" s="187"/>
      <c r="AO282" s="187"/>
      <c r="AP282" s="106"/>
      <c r="BB282" s="192" t="s">
        <v>355</v>
      </c>
    </row>
    <row r="283" spans="3:56" ht="15" x14ac:dyDescent="0.2">
      <c r="C283" s="240"/>
      <c r="D283" s="221"/>
      <c r="E283" s="221"/>
      <c r="F283" s="221"/>
      <c r="G283" s="221"/>
      <c r="H283" s="221"/>
      <c r="I283" s="221"/>
      <c r="J283" s="307" t="s">
        <v>150</v>
      </c>
      <c r="K283" s="307"/>
      <c r="L283" s="232" t="str">
        <f>IF(L281="","-",'Avaliação Física 6'!CH12)</f>
        <v>-</v>
      </c>
      <c r="M283" s="221"/>
      <c r="N283" s="221"/>
      <c r="O283" s="221"/>
      <c r="P283" s="278"/>
      <c r="AL283" s="205">
        <v>13</v>
      </c>
      <c r="AM283" s="378" t="s">
        <v>141</v>
      </c>
      <c r="AN283" s="379"/>
      <c r="AO283" s="106"/>
      <c r="AP283" s="106"/>
      <c r="BB283" s="205">
        <v>18</v>
      </c>
      <c r="BC283" s="378" t="s">
        <v>141</v>
      </c>
      <c r="BD283" s="379"/>
    </row>
    <row r="284" spans="3:56" ht="15" x14ac:dyDescent="0.2">
      <c r="C284" s="240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78"/>
      <c r="AL284" s="206">
        <v>20</v>
      </c>
      <c r="AM284" s="380" t="s">
        <v>140</v>
      </c>
      <c r="AN284" s="381"/>
      <c r="AO284" s="106"/>
      <c r="AP284" s="106"/>
      <c r="BB284" s="206">
        <v>25</v>
      </c>
      <c r="BC284" s="380" t="s">
        <v>140</v>
      </c>
      <c r="BD284" s="381"/>
    </row>
    <row r="285" spans="3:56" ht="15" x14ac:dyDescent="0.2">
      <c r="C285" s="241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80"/>
      <c r="AL285" s="207">
        <v>22</v>
      </c>
      <c r="AM285" s="378" t="s">
        <v>298</v>
      </c>
      <c r="AN285" s="382"/>
      <c r="AO285" s="106"/>
      <c r="AP285" s="106"/>
      <c r="BB285" s="207">
        <v>27</v>
      </c>
      <c r="BC285" s="378" t="s">
        <v>298</v>
      </c>
      <c r="BD285" s="382"/>
    </row>
    <row r="286" spans="3:56" ht="15" x14ac:dyDescent="0.2">
      <c r="O286" s="91"/>
      <c r="AL286" s="206">
        <v>24</v>
      </c>
      <c r="AM286" s="380" t="s">
        <v>303</v>
      </c>
      <c r="AN286" s="381"/>
      <c r="AO286" s="106"/>
      <c r="AP286" s="106"/>
      <c r="BB286" s="206">
        <v>30</v>
      </c>
      <c r="BC286" s="380" t="s">
        <v>303</v>
      </c>
      <c r="BD286" s="381"/>
    </row>
    <row r="287" spans="3:56" ht="15" x14ac:dyDescent="0.2">
      <c r="C287" s="362" t="s">
        <v>230</v>
      </c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AL287" s="207">
        <v>26</v>
      </c>
      <c r="AM287" s="378" t="s">
        <v>307</v>
      </c>
      <c r="AN287" s="382"/>
      <c r="AO287" s="106"/>
      <c r="AP287" s="106"/>
      <c r="BB287" s="207">
        <v>33</v>
      </c>
      <c r="BC287" s="378" t="s">
        <v>307</v>
      </c>
      <c r="BD287" s="382"/>
    </row>
    <row r="288" spans="3:56" ht="15" x14ac:dyDescent="0.2">
      <c r="C288" s="238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7"/>
      <c r="AL288" s="206">
        <v>28</v>
      </c>
      <c r="AM288" s="380" t="s">
        <v>312</v>
      </c>
      <c r="AN288" s="381"/>
      <c r="AO288" s="106"/>
      <c r="AP288" s="106"/>
      <c r="BB288" s="206">
        <v>36</v>
      </c>
      <c r="BC288" s="380" t="s">
        <v>312</v>
      </c>
      <c r="BD288" s="381"/>
    </row>
    <row r="289" spans="3:56" ht="15.75" thickBot="1" x14ac:dyDescent="0.25">
      <c r="C289" s="491" t="s">
        <v>275</v>
      </c>
      <c r="D289" s="492"/>
      <c r="E289" s="492"/>
      <c r="F289" s="492"/>
      <c r="G289" s="221"/>
      <c r="H289" s="355" t="s">
        <v>231</v>
      </c>
      <c r="I289" s="355"/>
      <c r="J289" s="221"/>
      <c r="K289" s="355" t="s">
        <v>198</v>
      </c>
      <c r="L289" s="355"/>
      <c r="M289" s="355"/>
      <c r="N289" s="355"/>
      <c r="O289" s="221"/>
      <c r="P289" s="278"/>
      <c r="T289" s="21"/>
      <c r="AL289" s="208">
        <v>32</v>
      </c>
      <c r="AM289" s="378" t="s">
        <v>317</v>
      </c>
      <c r="AN289" s="382"/>
      <c r="AO289" s="106"/>
      <c r="AP289" s="106"/>
      <c r="BB289" s="208">
        <v>39</v>
      </c>
      <c r="BC289" s="378" t="s">
        <v>317</v>
      </c>
      <c r="BD289" s="382"/>
    </row>
    <row r="290" spans="3:56" ht="15.75" thickBot="1" x14ac:dyDescent="0.25">
      <c r="C290" s="240"/>
      <c r="D290" s="414"/>
      <c r="E290" s="415"/>
      <c r="F290" s="221"/>
      <c r="G290" s="221"/>
      <c r="H290" s="444" t="str">
        <f>IF(D290="","-",((D290/1000)*60)/12)</f>
        <v>-</v>
      </c>
      <c r="I290" s="445"/>
      <c r="J290" s="221"/>
      <c r="K290" s="221"/>
      <c r="L290" s="427" t="str">
        <f>IF(D290="","-",('Avaliação Física 6'!D290-504)/45)</f>
        <v>-</v>
      </c>
      <c r="M290" s="428"/>
      <c r="N290" s="429"/>
      <c r="O290" s="221"/>
      <c r="P290" s="278"/>
      <c r="AN290" s="106"/>
      <c r="AO290" s="106"/>
      <c r="AP290" s="106"/>
    </row>
    <row r="291" spans="3:56" ht="15.75" thickBot="1" x14ac:dyDescent="0.25">
      <c r="C291" s="240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78"/>
      <c r="AJ291" s="194"/>
      <c r="AK291" s="195"/>
      <c r="AL291" s="192" t="s">
        <v>356</v>
      </c>
      <c r="AN291" s="187"/>
      <c r="AO291" s="187"/>
      <c r="AP291" s="106"/>
      <c r="BB291" s="192" t="s">
        <v>356</v>
      </c>
    </row>
    <row r="292" spans="3:56" ht="15" x14ac:dyDescent="0.2">
      <c r="C292" s="240"/>
      <c r="D292" s="355" t="s">
        <v>232</v>
      </c>
      <c r="E292" s="355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78"/>
      <c r="AL292" s="205">
        <v>14</v>
      </c>
      <c r="AM292" s="378" t="s">
        <v>141</v>
      </c>
      <c r="AN292" s="379"/>
      <c r="AO292" s="106"/>
      <c r="AP292" s="106"/>
      <c r="BB292" s="205">
        <v>16</v>
      </c>
      <c r="BC292" s="378" t="s">
        <v>141</v>
      </c>
      <c r="BD292" s="379"/>
    </row>
    <row r="293" spans="3:56" ht="15" x14ac:dyDescent="0.2">
      <c r="C293" s="240"/>
      <c r="D293" s="430" t="str">
        <f>IF(D290="","-",DN12)</f>
        <v>-</v>
      </c>
      <c r="E293" s="43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78"/>
      <c r="AL293" s="206">
        <v>19</v>
      </c>
      <c r="AM293" s="380" t="s">
        <v>140</v>
      </c>
      <c r="AN293" s="381"/>
      <c r="AO293" s="106"/>
      <c r="AP293" s="106"/>
      <c r="BB293" s="206">
        <v>22</v>
      </c>
      <c r="BC293" s="380" t="s">
        <v>140</v>
      </c>
      <c r="BD293" s="381"/>
    </row>
    <row r="294" spans="3:56" ht="15" x14ac:dyDescent="0.2">
      <c r="C294" s="241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80"/>
      <c r="AL294" s="207">
        <v>22</v>
      </c>
      <c r="AM294" s="378" t="s">
        <v>298</v>
      </c>
      <c r="AN294" s="382"/>
      <c r="BB294" s="207">
        <v>27</v>
      </c>
      <c r="BC294" s="378" t="s">
        <v>298</v>
      </c>
      <c r="BD294" s="382"/>
    </row>
    <row r="295" spans="3:56" ht="15" x14ac:dyDescent="0.2">
      <c r="AL295" s="206">
        <v>23</v>
      </c>
      <c r="AM295" s="380" t="s">
        <v>303</v>
      </c>
      <c r="AN295" s="381"/>
      <c r="BB295" s="206">
        <v>30</v>
      </c>
      <c r="BC295" s="380" t="s">
        <v>303</v>
      </c>
      <c r="BD295" s="381"/>
    </row>
    <row r="296" spans="3:56" ht="15" x14ac:dyDescent="0.2">
      <c r="C296" s="362" t="s">
        <v>223</v>
      </c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AL296" s="207">
        <v>25</v>
      </c>
      <c r="AM296" s="378" t="s">
        <v>307</v>
      </c>
      <c r="AN296" s="382"/>
      <c r="BB296" s="207">
        <v>32</v>
      </c>
      <c r="BC296" s="378" t="s">
        <v>307</v>
      </c>
      <c r="BD296" s="382"/>
    </row>
    <row r="297" spans="3:56" ht="15" x14ac:dyDescent="0.2">
      <c r="C297" s="447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9"/>
      <c r="Q297" s="93"/>
      <c r="R297" s="94"/>
      <c r="S297" s="94"/>
      <c r="T297" s="95"/>
      <c r="U297" s="95"/>
      <c r="V297" s="95"/>
      <c r="W297" s="95"/>
      <c r="AA297" s="95"/>
      <c r="AL297" s="206">
        <v>27</v>
      </c>
      <c r="AM297" s="380" t="s">
        <v>312</v>
      </c>
      <c r="AN297" s="381"/>
      <c r="BB297" s="206">
        <v>35</v>
      </c>
      <c r="BC297" s="380" t="s">
        <v>312</v>
      </c>
      <c r="BD297" s="381"/>
    </row>
    <row r="298" spans="3:56" ht="15.75" thickBot="1" x14ac:dyDescent="0.25">
      <c r="C298" s="450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2"/>
      <c r="Q298" s="93"/>
      <c r="R298" s="94"/>
      <c r="S298" s="94"/>
      <c r="T298" s="95"/>
      <c r="U298" s="95"/>
      <c r="V298" s="95"/>
      <c r="W298" s="95"/>
      <c r="AA298" s="95"/>
      <c r="AL298" s="208">
        <v>31</v>
      </c>
      <c r="AM298" s="378" t="s">
        <v>317</v>
      </c>
      <c r="AN298" s="382"/>
      <c r="BB298" s="208">
        <v>38</v>
      </c>
      <c r="BC298" s="378" t="s">
        <v>317</v>
      </c>
      <c r="BD298" s="382"/>
    </row>
    <row r="299" spans="3:56" ht="15" x14ac:dyDescent="0.2">
      <c r="C299" s="450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2"/>
      <c r="Q299" s="93"/>
      <c r="R299" s="94"/>
      <c r="S299" s="94"/>
      <c r="T299" s="99"/>
      <c r="U299" s="95"/>
      <c r="V299" s="95"/>
      <c r="W299" s="95"/>
      <c r="AA299" s="95"/>
    </row>
    <row r="300" spans="3:56" ht="15" x14ac:dyDescent="0.2">
      <c r="C300" s="450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2"/>
      <c r="Q300" s="96"/>
      <c r="R300" s="94"/>
      <c r="S300" s="94"/>
      <c r="T300" s="95"/>
      <c r="U300" s="95"/>
      <c r="V300" s="95"/>
      <c r="W300" s="95"/>
      <c r="AA300" s="95"/>
    </row>
    <row r="301" spans="3:56" ht="15" x14ac:dyDescent="0.2">
      <c r="C301" s="450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2"/>
      <c r="Q301" s="93"/>
      <c r="R301" s="94"/>
      <c r="S301" s="94"/>
      <c r="T301" s="95"/>
      <c r="U301" s="95"/>
      <c r="V301" s="95"/>
      <c r="W301" s="95"/>
      <c r="X301" s="95"/>
      <c r="Y301" s="95"/>
      <c r="Z301" s="95"/>
      <c r="AA301" s="95"/>
    </row>
    <row r="302" spans="3:56" ht="15" x14ac:dyDescent="0.2">
      <c r="C302" s="450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2"/>
      <c r="Q302" s="93"/>
      <c r="R302" s="94"/>
      <c r="S302" s="94"/>
      <c r="T302" s="95"/>
      <c r="U302" s="95"/>
      <c r="V302" s="95"/>
      <c r="W302" s="95"/>
      <c r="X302" s="95"/>
      <c r="Y302" s="95"/>
      <c r="Z302" s="95"/>
      <c r="AA302" s="95"/>
    </row>
    <row r="303" spans="3:56" ht="15" x14ac:dyDescent="0.2">
      <c r="C303" s="450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2"/>
      <c r="Q303" s="93"/>
      <c r="R303" s="94"/>
      <c r="S303" s="94"/>
      <c r="T303" s="95"/>
      <c r="U303" s="95"/>
      <c r="V303" s="95"/>
      <c r="W303" s="95"/>
      <c r="X303" s="95"/>
      <c r="Y303" s="95"/>
      <c r="Z303" s="95"/>
      <c r="AA303" s="95"/>
    </row>
    <row r="304" spans="3:56" ht="15" x14ac:dyDescent="0.2">
      <c r="C304" s="450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2"/>
      <c r="Q304" s="93"/>
      <c r="R304" s="94"/>
      <c r="S304" s="94"/>
      <c r="T304" s="95"/>
      <c r="U304" s="95"/>
      <c r="V304" s="95"/>
      <c r="W304" s="95"/>
      <c r="X304" s="408"/>
      <c r="Y304" s="409"/>
      <c r="Z304" s="95"/>
      <c r="AA304" s="95"/>
    </row>
    <row r="305" spans="3:27" ht="15" x14ac:dyDescent="0.2">
      <c r="C305" s="450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2"/>
      <c r="Q305" s="93"/>
      <c r="R305" s="94"/>
      <c r="S305" s="94"/>
      <c r="T305" s="95"/>
      <c r="U305" s="95"/>
      <c r="V305" s="95"/>
      <c r="W305" s="95"/>
      <c r="X305" s="95"/>
      <c r="Y305" s="95"/>
      <c r="Z305" s="95"/>
      <c r="AA305" s="95"/>
    </row>
    <row r="306" spans="3:27" ht="15" x14ac:dyDescent="0.2">
      <c r="C306" s="450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2"/>
      <c r="Q306" s="93"/>
      <c r="R306" s="94"/>
      <c r="S306" s="94"/>
      <c r="T306" s="95"/>
      <c r="U306" s="95"/>
      <c r="V306" s="95"/>
      <c r="W306" s="95"/>
      <c r="X306" s="95"/>
      <c r="Y306" s="95"/>
      <c r="Z306" s="95"/>
      <c r="AA306" s="95"/>
    </row>
    <row r="307" spans="3:27" ht="15" x14ac:dyDescent="0.2">
      <c r="C307" s="450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2"/>
      <c r="Q307" s="93"/>
      <c r="R307" s="94"/>
      <c r="S307" s="94"/>
      <c r="T307" s="95"/>
      <c r="U307" s="95"/>
      <c r="V307" s="95"/>
      <c r="W307" s="95"/>
      <c r="X307" s="95"/>
      <c r="Y307" s="95"/>
      <c r="Z307" s="95"/>
      <c r="AA307" s="95"/>
    </row>
    <row r="308" spans="3:27" ht="15" x14ac:dyDescent="0.2">
      <c r="C308" s="450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2"/>
      <c r="Q308" s="93"/>
      <c r="R308" s="94"/>
      <c r="S308" s="94"/>
      <c r="T308" s="95"/>
      <c r="U308" s="95"/>
      <c r="V308" s="95"/>
      <c r="W308" s="95"/>
      <c r="X308" s="95"/>
      <c r="Y308" s="95"/>
      <c r="Z308" s="95"/>
      <c r="AA308" s="95"/>
    </row>
    <row r="309" spans="3:27" ht="15" x14ac:dyDescent="0.2">
      <c r="C309" s="450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2"/>
      <c r="Q309" s="93"/>
      <c r="R309" s="94"/>
      <c r="S309" s="94"/>
      <c r="T309" s="95"/>
      <c r="U309" s="95"/>
      <c r="V309" s="95"/>
      <c r="W309" s="95"/>
      <c r="X309" s="95"/>
      <c r="Y309" s="95"/>
      <c r="Z309" s="95"/>
      <c r="AA309" s="95"/>
    </row>
    <row r="310" spans="3:27" ht="15" x14ac:dyDescent="0.2">
      <c r="C310" s="450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2"/>
      <c r="Q310" s="93"/>
      <c r="R310" s="94"/>
      <c r="S310" s="94"/>
      <c r="T310" s="95"/>
      <c r="U310" s="95"/>
      <c r="V310" s="95"/>
      <c r="W310" s="95"/>
      <c r="X310" s="95"/>
      <c r="Y310" s="95"/>
      <c r="Z310" s="95"/>
      <c r="AA310" s="95"/>
    </row>
    <row r="311" spans="3:27" ht="15" x14ac:dyDescent="0.2">
      <c r="C311" s="450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2"/>
      <c r="Q311" s="93"/>
      <c r="R311" s="96"/>
      <c r="S311" s="94"/>
      <c r="T311" s="97"/>
      <c r="U311" s="97"/>
      <c r="V311" s="97"/>
      <c r="W311" s="97"/>
      <c r="X311" s="100"/>
      <c r="Y311" s="100"/>
      <c r="Z311" s="95"/>
      <c r="AA311" s="97"/>
    </row>
    <row r="312" spans="3:27" ht="15" x14ac:dyDescent="0.2">
      <c r="C312" s="450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2"/>
      <c r="Q312" s="93"/>
      <c r="R312" s="96"/>
      <c r="S312" s="96"/>
      <c r="T312" s="96"/>
      <c r="U312" s="96"/>
      <c r="V312" s="96"/>
      <c r="W312" s="311"/>
      <c r="X312" s="95"/>
      <c r="Y312" s="95"/>
      <c r="Z312" s="95"/>
      <c r="AA312" s="97"/>
    </row>
    <row r="313" spans="3:27" ht="15" x14ac:dyDescent="0.2">
      <c r="C313" s="450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2"/>
      <c r="Q313" s="93"/>
      <c r="R313" s="94"/>
      <c r="S313" s="94"/>
      <c r="T313" s="97"/>
      <c r="U313" s="97"/>
      <c r="V313" s="97"/>
      <c r="W313" s="97"/>
      <c r="X313" s="95"/>
      <c r="Y313" s="95"/>
      <c r="Z313" s="95"/>
      <c r="AA313" s="97"/>
    </row>
    <row r="314" spans="3:27" ht="15" x14ac:dyDescent="0.2">
      <c r="C314" s="450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2"/>
      <c r="Q314" s="93"/>
      <c r="R314" s="94"/>
      <c r="S314" s="94"/>
      <c r="T314" s="97"/>
      <c r="U314" s="97"/>
      <c r="V314" s="97"/>
      <c r="W314" s="97"/>
      <c r="X314" s="95"/>
      <c r="Y314" s="95"/>
      <c r="Z314" s="95"/>
      <c r="AA314" s="97"/>
    </row>
    <row r="315" spans="3:27" ht="15" x14ac:dyDescent="0.2">
      <c r="C315" s="450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2"/>
      <c r="Q315" s="93"/>
      <c r="R315" s="94"/>
      <c r="S315" s="94"/>
      <c r="T315" s="97"/>
      <c r="U315" s="97"/>
      <c r="V315" s="97"/>
      <c r="W315" s="97"/>
      <c r="X315" s="441"/>
      <c r="Y315" s="441"/>
      <c r="Z315" s="96"/>
      <c r="AA315" s="97"/>
    </row>
    <row r="316" spans="3:27" ht="15" x14ac:dyDescent="0.2">
      <c r="C316" s="453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5"/>
      <c r="Q316" s="93"/>
      <c r="R316" s="94"/>
      <c r="S316" s="94"/>
      <c r="T316" s="97"/>
      <c r="U316" s="97"/>
      <c r="V316" s="97"/>
      <c r="W316" s="97"/>
      <c r="X316" s="97"/>
      <c r="Y316" s="97"/>
      <c r="Z316" s="97"/>
      <c r="AA316" s="97"/>
    </row>
    <row r="317" spans="3:27" ht="15" x14ac:dyDescent="0.2">
      <c r="O317" s="103"/>
      <c r="P317" s="103"/>
      <c r="Q317" s="103"/>
      <c r="R317" s="103"/>
      <c r="S317" s="103"/>
      <c r="T317" s="103"/>
      <c r="U317" s="103"/>
      <c r="V317" s="103"/>
      <c r="W317" s="103"/>
      <c r="X317" s="93"/>
      <c r="Y317" s="97"/>
      <c r="Z317" s="97"/>
      <c r="AA317" s="95"/>
    </row>
    <row r="318" spans="3:27" ht="15" x14ac:dyDescent="0.2">
      <c r="D318" s="442" t="s">
        <v>215</v>
      </c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103"/>
      <c r="P318" s="103"/>
      <c r="Q318" s="103"/>
      <c r="R318" s="103"/>
      <c r="S318" s="103"/>
      <c r="T318" s="103"/>
      <c r="U318" s="103"/>
      <c r="V318" s="103"/>
      <c r="W318" s="103"/>
      <c r="X318" s="93"/>
      <c r="Y318" s="97"/>
      <c r="Z318" s="97"/>
      <c r="AA318" s="95"/>
    </row>
    <row r="319" spans="3:27" ht="15" x14ac:dyDescent="0.2">
      <c r="D319" s="442" t="s">
        <v>216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104"/>
      <c r="P319" s="104"/>
      <c r="Q319" s="104"/>
      <c r="R319" s="104"/>
      <c r="S319" s="104"/>
      <c r="T319" s="104"/>
      <c r="U319" s="104"/>
      <c r="V319" s="104"/>
      <c r="W319" s="104"/>
      <c r="X319" s="93"/>
      <c r="Y319" s="97"/>
      <c r="Z319" s="97"/>
      <c r="AA319" s="101"/>
    </row>
    <row r="320" spans="3:27" ht="15" x14ac:dyDescent="0.2">
      <c r="D320" s="443" t="s">
        <v>217</v>
      </c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101"/>
      <c r="P320" s="101"/>
      <c r="Q320" s="101"/>
      <c r="R320" s="101"/>
      <c r="S320" s="101"/>
      <c r="T320" s="101"/>
      <c r="U320" s="101"/>
      <c r="V320" s="101"/>
      <c r="W320" s="101"/>
      <c r="X320" s="93"/>
      <c r="Y320" s="97"/>
      <c r="Z320" s="97"/>
      <c r="AA320" s="101"/>
    </row>
    <row r="321" spans="4:27" ht="15" x14ac:dyDescent="0.2"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3"/>
      <c r="Y321" s="103"/>
      <c r="Z321" s="103"/>
      <c r="AA321" s="101"/>
    </row>
    <row r="322" spans="4:27" ht="15" x14ac:dyDescent="0.2">
      <c r="D322" s="101"/>
      <c r="E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3"/>
      <c r="Y322" s="103"/>
      <c r="Z322" s="103"/>
      <c r="AA322" s="101"/>
    </row>
    <row r="323" spans="4:27" ht="15" x14ac:dyDescent="0.2">
      <c r="F323" s="404"/>
      <c r="G323" s="404"/>
      <c r="H323" s="404"/>
      <c r="I323" s="404"/>
      <c r="J323" s="404"/>
      <c r="K323" s="404"/>
      <c r="L323" s="404"/>
      <c r="X323" s="104"/>
      <c r="Y323" s="104"/>
      <c r="Z323" s="104"/>
    </row>
    <row r="324" spans="4:27" ht="15" x14ac:dyDescent="0.2">
      <c r="X324" s="101"/>
      <c r="Y324" s="101"/>
      <c r="Z324" s="101"/>
    </row>
    <row r="325" spans="4:27" ht="15" hidden="1" x14ac:dyDescent="0.2">
      <c r="X325" s="101"/>
      <c r="Y325" s="101"/>
      <c r="Z325" s="101"/>
    </row>
    <row r="326" spans="4:27" ht="15" hidden="1" x14ac:dyDescent="0.2">
      <c r="X326" s="101"/>
      <c r="Y326" s="101"/>
      <c r="Z326" s="101"/>
    </row>
    <row r="327" spans="4:27" ht="15" hidden="1" x14ac:dyDescent="0.2"/>
    <row r="328" spans="4:27" ht="15" hidden="1" x14ac:dyDescent="0.2"/>
  </sheetData>
  <sheetProtection algorithmName="SHA-512" hashValue="/UZeQSB8fq5ehfZSanTSLQWebJz/cBm8mOpTi0VxiNnWPwujullrM3FCBK16840/iPTO+rWyomqGnYvr5hGk5A==" saltValue="QMs/AYQWlQ/yLPY/2ATxog==" spinCount="100000" sheet="1" formatCells="0" selectLockedCells="1"/>
  <mergeCells count="339">
    <mergeCell ref="K6:M6"/>
    <mergeCell ref="C7:P7"/>
    <mergeCell ref="ED8:EE8"/>
    <mergeCell ref="D9:H9"/>
    <mergeCell ref="DT9:DU9"/>
    <mergeCell ref="DX9:DY9"/>
    <mergeCell ref="EL12:EN12"/>
    <mergeCell ref="DT14:DV14"/>
    <mergeCell ref="D15:F15"/>
    <mergeCell ref="H15:J15"/>
    <mergeCell ref="DT15:DU15"/>
    <mergeCell ref="EL15:EN15"/>
    <mergeCell ref="DT10:DV10"/>
    <mergeCell ref="EB10:ED10"/>
    <mergeCell ref="DT11:DU11"/>
    <mergeCell ref="DX11:DY11"/>
    <mergeCell ref="EB11:ED11"/>
    <mergeCell ref="D12:H12"/>
    <mergeCell ref="J12:L12"/>
    <mergeCell ref="DT12:DU12"/>
    <mergeCell ref="DT21:DU21"/>
    <mergeCell ref="C23:P23"/>
    <mergeCell ref="DT23:DU23"/>
    <mergeCell ref="J25:N25"/>
    <mergeCell ref="J26:N26"/>
    <mergeCell ref="DT26:DU26"/>
    <mergeCell ref="DT16:DU16"/>
    <mergeCell ref="DT17:DU17"/>
    <mergeCell ref="C18:P18"/>
    <mergeCell ref="DT18:DU18"/>
    <mergeCell ref="DT19:DU19"/>
    <mergeCell ref="DT20:DU20"/>
    <mergeCell ref="J31:N31"/>
    <mergeCell ref="EI31:EJ31"/>
    <mergeCell ref="J32:N32"/>
    <mergeCell ref="EI32:EJ32"/>
    <mergeCell ref="J33:N33"/>
    <mergeCell ref="J34:N34"/>
    <mergeCell ref="J27:N27"/>
    <mergeCell ref="DT27:DU27"/>
    <mergeCell ref="J28:N28"/>
    <mergeCell ref="DT28:DU28"/>
    <mergeCell ref="J29:N29"/>
    <mergeCell ref="J30:N30"/>
    <mergeCell ref="D42:E42"/>
    <mergeCell ref="F42:N42"/>
    <mergeCell ref="D43:E43"/>
    <mergeCell ref="F43:N43"/>
    <mergeCell ref="EI43:EJ43"/>
    <mergeCell ref="D44:E44"/>
    <mergeCell ref="F44:N44"/>
    <mergeCell ref="EI36:EJ36"/>
    <mergeCell ref="D38:E38"/>
    <mergeCell ref="F38:N38"/>
    <mergeCell ref="D39:E39"/>
    <mergeCell ref="F39:N39"/>
    <mergeCell ref="EI40:EJ40"/>
    <mergeCell ref="D61:J62"/>
    <mergeCell ref="D64:J64"/>
    <mergeCell ref="C67:P67"/>
    <mergeCell ref="J70:K70"/>
    <mergeCell ref="D72:E72"/>
    <mergeCell ref="H72:I72"/>
    <mergeCell ref="K72:M72"/>
    <mergeCell ref="C47:P47"/>
    <mergeCell ref="D49:K50"/>
    <mergeCell ref="D52:J52"/>
    <mergeCell ref="D54:J54"/>
    <mergeCell ref="D56:J56"/>
    <mergeCell ref="D58:J59"/>
    <mergeCell ref="D78:E78"/>
    <mergeCell ref="H78:I78"/>
    <mergeCell ref="L78:M78"/>
    <mergeCell ref="D79:E79"/>
    <mergeCell ref="H79:I79"/>
    <mergeCell ref="L79:M79"/>
    <mergeCell ref="D74:D75"/>
    <mergeCell ref="E75:J75"/>
    <mergeCell ref="D76:N76"/>
    <mergeCell ref="D77:E77"/>
    <mergeCell ref="H77:I77"/>
    <mergeCell ref="L77:M77"/>
    <mergeCell ref="D85:E85"/>
    <mergeCell ref="H85:I85"/>
    <mergeCell ref="D86:E86"/>
    <mergeCell ref="H86:I86"/>
    <mergeCell ref="D87:E87"/>
    <mergeCell ref="H87:I87"/>
    <mergeCell ref="W80:X80"/>
    <mergeCell ref="L81:M81"/>
    <mergeCell ref="W81:X81"/>
    <mergeCell ref="D82:N82"/>
    <mergeCell ref="D84:E84"/>
    <mergeCell ref="H84:I84"/>
    <mergeCell ref="E91:F91"/>
    <mergeCell ref="I91:J91"/>
    <mergeCell ref="Y91:AA91"/>
    <mergeCell ref="Y92:AA92"/>
    <mergeCell ref="D93:L93"/>
    <mergeCell ref="Y93:AA93"/>
    <mergeCell ref="D88:E88"/>
    <mergeCell ref="H88:I88"/>
    <mergeCell ref="Y88:AA88"/>
    <mergeCell ref="Y89:AA89"/>
    <mergeCell ref="H90:I90"/>
    <mergeCell ref="Y90:AA90"/>
    <mergeCell ref="Y96:AA96"/>
    <mergeCell ref="D97:N97"/>
    <mergeCell ref="D98:E98"/>
    <mergeCell ref="H98:I98"/>
    <mergeCell ref="L98:N98"/>
    <mergeCell ref="D99:E99"/>
    <mergeCell ref="H99:I99"/>
    <mergeCell ref="L99:N99"/>
    <mergeCell ref="D94:F94"/>
    <mergeCell ref="G94:H94"/>
    <mergeCell ref="K94:L94"/>
    <mergeCell ref="Y94:AA94"/>
    <mergeCell ref="D95:F95"/>
    <mergeCell ref="G95:H95"/>
    <mergeCell ref="Y95:AA95"/>
    <mergeCell ref="T119:U119"/>
    <mergeCell ref="D120:E120"/>
    <mergeCell ref="G120:H120"/>
    <mergeCell ref="J120:P120"/>
    <mergeCell ref="C100:E100"/>
    <mergeCell ref="D101:E101"/>
    <mergeCell ref="H101:I101"/>
    <mergeCell ref="L101:N101"/>
    <mergeCell ref="C116:P116"/>
    <mergeCell ref="D118:E118"/>
    <mergeCell ref="G118:H118"/>
    <mergeCell ref="J118:O118"/>
    <mergeCell ref="D121:E121"/>
    <mergeCell ref="G121:H121"/>
    <mergeCell ref="L121:O121"/>
    <mergeCell ref="D125:E125"/>
    <mergeCell ref="J125:K125"/>
    <mergeCell ref="M125:N125"/>
    <mergeCell ref="D119:E119"/>
    <mergeCell ref="G119:H119"/>
    <mergeCell ref="L119:O119"/>
    <mergeCell ref="T126:V126"/>
    <mergeCell ref="C148:P148"/>
    <mergeCell ref="J149:P163"/>
    <mergeCell ref="F150:H150"/>
    <mergeCell ref="F151:H151"/>
    <mergeCell ref="F152:H152"/>
    <mergeCell ref="F153:H153"/>
    <mergeCell ref="F154:H154"/>
    <mergeCell ref="F155:H155"/>
    <mergeCell ref="F156:H156"/>
    <mergeCell ref="C168:P168"/>
    <mergeCell ref="D170:O170"/>
    <mergeCell ref="K171:L171"/>
    <mergeCell ref="N171:O171"/>
    <mergeCell ref="D188:H188"/>
    <mergeCell ref="J188:O188"/>
    <mergeCell ref="F157:H157"/>
    <mergeCell ref="F158:H158"/>
    <mergeCell ref="F159:H159"/>
    <mergeCell ref="F160:H160"/>
    <mergeCell ref="F161:H161"/>
    <mergeCell ref="F162:H162"/>
    <mergeCell ref="C220:E222"/>
    <mergeCell ref="M220:M222"/>
    <mergeCell ref="N220:N222"/>
    <mergeCell ref="C223:E225"/>
    <mergeCell ref="M223:M225"/>
    <mergeCell ref="N223:N225"/>
    <mergeCell ref="N189:O189"/>
    <mergeCell ref="C217:P217"/>
    <mergeCell ref="F219:G219"/>
    <mergeCell ref="H219:I219"/>
    <mergeCell ref="J219:K219"/>
    <mergeCell ref="L219:M219"/>
    <mergeCell ref="C229:E231"/>
    <mergeCell ref="M229:M231"/>
    <mergeCell ref="N229:N231"/>
    <mergeCell ref="C232:E234"/>
    <mergeCell ref="M232:M234"/>
    <mergeCell ref="N232:N234"/>
    <mergeCell ref="AJ225:BS225"/>
    <mergeCell ref="C226:E228"/>
    <mergeCell ref="M226:M228"/>
    <mergeCell ref="N226:N228"/>
    <mergeCell ref="AJ226:AO226"/>
    <mergeCell ref="AP226:AT226"/>
    <mergeCell ref="C238:E240"/>
    <mergeCell ref="M238:M240"/>
    <mergeCell ref="N238:N240"/>
    <mergeCell ref="AJ238:AO238"/>
    <mergeCell ref="AJ239:AO239"/>
    <mergeCell ref="AJ240:AO240"/>
    <mergeCell ref="AJ234:BS234"/>
    <mergeCell ref="C235:E237"/>
    <mergeCell ref="M235:M237"/>
    <mergeCell ref="N235:N237"/>
    <mergeCell ref="AJ235:AO235"/>
    <mergeCell ref="AJ236:AO236"/>
    <mergeCell ref="AJ237:AO237"/>
    <mergeCell ref="C241:E243"/>
    <mergeCell ref="M241:M243"/>
    <mergeCell ref="N241:N243"/>
    <mergeCell ref="AJ241:AO241"/>
    <mergeCell ref="AJ242:AO242"/>
    <mergeCell ref="C244:E246"/>
    <mergeCell ref="M244:M246"/>
    <mergeCell ref="N244:N246"/>
    <mergeCell ref="AJ245:AL245"/>
    <mergeCell ref="BB245:BD245"/>
    <mergeCell ref="C247:E249"/>
    <mergeCell ref="M247:M249"/>
    <mergeCell ref="N247:N249"/>
    <mergeCell ref="AM247:AN247"/>
    <mergeCell ref="BC247:BD247"/>
    <mergeCell ref="AM248:AN248"/>
    <mergeCell ref="BC248:BD248"/>
    <mergeCell ref="AM249:AN249"/>
    <mergeCell ref="BC249:BD249"/>
    <mergeCell ref="C250:E252"/>
    <mergeCell ref="M250:M252"/>
    <mergeCell ref="N250:N252"/>
    <mergeCell ref="AM250:AN250"/>
    <mergeCell ref="BC250:BD250"/>
    <mergeCell ref="AM251:AN251"/>
    <mergeCell ref="BC251:BD251"/>
    <mergeCell ref="AM252:AN252"/>
    <mergeCell ref="BC252:BD252"/>
    <mergeCell ref="C253:E255"/>
    <mergeCell ref="M253:M255"/>
    <mergeCell ref="N253:N255"/>
    <mergeCell ref="AM253:AN253"/>
    <mergeCell ref="BC253:BD253"/>
    <mergeCell ref="C256:E258"/>
    <mergeCell ref="M256:M258"/>
    <mergeCell ref="N256:N258"/>
    <mergeCell ref="AM256:AN256"/>
    <mergeCell ref="BC256:BD256"/>
    <mergeCell ref="AM257:AN257"/>
    <mergeCell ref="BC257:BD257"/>
    <mergeCell ref="AM258:AN258"/>
    <mergeCell ref="AU258:AV258"/>
    <mergeCell ref="BC258:BD258"/>
    <mergeCell ref="C259:E261"/>
    <mergeCell ref="M259:M261"/>
    <mergeCell ref="N259:N261"/>
    <mergeCell ref="AM259:AN259"/>
    <mergeCell ref="BC259:BD259"/>
    <mergeCell ref="AM265:AN265"/>
    <mergeCell ref="BC265:BD265"/>
    <mergeCell ref="C266:F266"/>
    <mergeCell ref="G266:H266"/>
    <mergeCell ref="K266:L266"/>
    <mergeCell ref="M266:N266"/>
    <mergeCell ref="AM266:AN266"/>
    <mergeCell ref="BC266:BD266"/>
    <mergeCell ref="AM260:AN260"/>
    <mergeCell ref="BC260:BD260"/>
    <mergeCell ref="AM261:AN261"/>
    <mergeCell ref="BC261:BD261"/>
    <mergeCell ref="C262:E264"/>
    <mergeCell ref="M262:M264"/>
    <mergeCell ref="N262:N264"/>
    <mergeCell ref="AM262:AN262"/>
    <mergeCell ref="BC262:BD262"/>
    <mergeCell ref="H272:K272"/>
    <mergeCell ref="AM274:AN274"/>
    <mergeCell ref="BC274:BD274"/>
    <mergeCell ref="AM267:AN267"/>
    <mergeCell ref="BC267:BD267"/>
    <mergeCell ref="AM268:AN268"/>
    <mergeCell ref="BC268:BD268"/>
    <mergeCell ref="C269:P269"/>
    <mergeCell ref="AM269:AN269"/>
    <mergeCell ref="BC269:BD269"/>
    <mergeCell ref="AM275:AN275"/>
    <mergeCell ref="BC275:BD275"/>
    <mergeCell ref="AM276:AN276"/>
    <mergeCell ref="BC276:BD276"/>
    <mergeCell ref="AM277:AN277"/>
    <mergeCell ref="BC277:BD277"/>
    <mergeCell ref="AM270:AN270"/>
    <mergeCell ref="BC270:BD270"/>
    <mergeCell ref="AM271:AN271"/>
    <mergeCell ref="BC271:BD271"/>
    <mergeCell ref="H281:K281"/>
    <mergeCell ref="AM283:AN283"/>
    <mergeCell ref="BC283:BD283"/>
    <mergeCell ref="AM284:AN284"/>
    <mergeCell ref="BC284:BD284"/>
    <mergeCell ref="AM285:AN285"/>
    <mergeCell ref="BC285:BD285"/>
    <mergeCell ref="C278:P278"/>
    <mergeCell ref="AM278:AN278"/>
    <mergeCell ref="BC278:BD278"/>
    <mergeCell ref="AM279:AN279"/>
    <mergeCell ref="BC279:BD279"/>
    <mergeCell ref="AM280:AN280"/>
    <mergeCell ref="BC280:BD280"/>
    <mergeCell ref="C289:F289"/>
    <mergeCell ref="H289:I289"/>
    <mergeCell ref="K289:N289"/>
    <mergeCell ref="AM289:AN289"/>
    <mergeCell ref="BC289:BD289"/>
    <mergeCell ref="D290:E290"/>
    <mergeCell ref="H290:I290"/>
    <mergeCell ref="L290:N290"/>
    <mergeCell ref="AM286:AN286"/>
    <mergeCell ref="BC286:BD286"/>
    <mergeCell ref="C287:P287"/>
    <mergeCell ref="AM287:AN287"/>
    <mergeCell ref="BC287:BD287"/>
    <mergeCell ref="AM288:AN288"/>
    <mergeCell ref="BC288:BD288"/>
    <mergeCell ref="AM294:AN294"/>
    <mergeCell ref="BC294:BD294"/>
    <mergeCell ref="AM295:AN295"/>
    <mergeCell ref="BC295:BD295"/>
    <mergeCell ref="C296:P296"/>
    <mergeCell ref="AM296:AN296"/>
    <mergeCell ref="BC296:BD296"/>
    <mergeCell ref="D292:E292"/>
    <mergeCell ref="AM292:AN292"/>
    <mergeCell ref="BC292:BD292"/>
    <mergeCell ref="D293:E293"/>
    <mergeCell ref="AM293:AN293"/>
    <mergeCell ref="BC293:BD293"/>
    <mergeCell ref="D318:N318"/>
    <mergeCell ref="D319:N319"/>
    <mergeCell ref="D320:N320"/>
    <mergeCell ref="F323:L323"/>
    <mergeCell ref="C297:P316"/>
    <mergeCell ref="AM297:AN297"/>
    <mergeCell ref="BC297:BD297"/>
    <mergeCell ref="AM298:AN298"/>
    <mergeCell ref="BC298:BD298"/>
    <mergeCell ref="X304:Y304"/>
    <mergeCell ref="X315:Y315"/>
  </mergeCells>
  <conditionalFormatting sqref="L101:N101">
    <cfRule type="cellIs" dxfId="28" priority="13" operator="equal">
      <formula>"obesidade muito alta"</formula>
    </cfRule>
    <cfRule type="cellIs" dxfId="27" priority="14" operator="equal">
      <formula>"obesidade alta"</formula>
    </cfRule>
    <cfRule type="cellIs" dxfId="26" priority="15" operator="equal">
      <formula>"obesidade moderada"</formula>
    </cfRule>
    <cfRule type="cellIs" dxfId="25" priority="16" operator="equal">
      <formula>"pré-obesidade"</formula>
    </cfRule>
    <cfRule type="cellIs" dxfId="24" priority="17" operator="equal">
      <formula>"peso normal"</formula>
    </cfRule>
    <cfRule type="cellIs" dxfId="23" priority="18" operator="equal">
      <formula>"baixo peso leve"</formula>
    </cfRule>
    <cfRule type="cellIs" dxfId="22" priority="19" operator="equal">
      <formula>"baixo peso moderado"</formula>
    </cfRule>
    <cfRule type="cellIs" dxfId="21" priority="20" operator="equal">
      <formula>"baixo peso severo"</formula>
    </cfRule>
  </conditionalFormatting>
  <conditionalFormatting sqref="BH95">
    <cfRule type="cellIs" dxfId="20" priority="9" operator="equal">
      <formula>"Endomorfo"</formula>
    </cfRule>
  </conditionalFormatting>
  <conditionalFormatting sqref="BC62:BE62">
    <cfRule type="expression" dxfId="19" priority="12">
      <formula>$Z$47&gt;$Z$48=$Z$49</formula>
    </cfRule>
  </conditionalFormatting>
  <conditionalFormatting sqref="BC104:BE104">
    <cfRule type="expression" dxfId="18" priority="11" stopIfTrue="1">
      <formula>$AA$86=$AB$86=$AC$86</formula>
    </cfRule>
  </conditionalFormatting>
  <conditionalFormatting sqref="BI98">
    <cfRule type="expression" priority="10" stopIfTrue="1">
      <formula>"$AA$82&gt;$AB$82=$AC$82;""ENDOMORFO"""</formula>
    </cfRule>
  </conditionalFormatting>
  <conditionalFormatting sqref="EB11:ED11">
    <cfRule type="cellIs" dxfId="17" priority="1" operator="equal">
      <formula>"obesidade muito alta"</formula>
    </cfRule>
    <cfRule type="cellIs" dxfId="16" priority="2" operator="equal">
      <formula>"obesidade alta"</formula>
    </cfRule>
    <cfRule type="cellIs" dxfId="15" priority="3" operator="equal">
      <formula>"obesidade moderada"</formula>
    </cfRule>
    <cfRule type="cellIs" dxfId="14" priority="4" operator="equal">
      <formula>"pré-obesidade"</formula>
    </cfRule>
    <cfRule type="cellIs" dxfId="13" priority="5" operator="equal">
      <formula>"peso normal"</formula>
    </cfRule>
    <cfRule type="cellIs" dxfId="12" priority="6" operator="equal">
      <formula>"baixo peso leve"</formula>
    </cfRule>
    <cfRule type="cellIs" dxfId="11" priority="7" operator="equal">
      <formula>"baixo peso moderado"</formula>
    </cfRule>
    <cfRule type="cellIs" dxfId="10" priority="8" operator="equal">
      <formula>"baixo peso severo"</formula>
    </cfRule>
  </conditionalFormatting>
  <dataValidations count="2">
    <dataValidation type="list" allowBlank="1" showInputMessage="1" showErrorMessage="1" sqref="E75:J75" xr:uid="{7C23D464-B5CD-4A8C-A732-EA1E48A53E41}">
      <formula1>$S$67:$S$75</formula1>
    </dataValidation>
    <dataValidation type="list" allowBlank="1" showInputMessage="1" showErrorMessage="1" sqref="L9" xr:uid="{88F30231-DF3A-4797-9E5D-1808A248D8A9}">
      <formula1>"Feminino, Masculino"</formula1>
    </dataValidation>
  </dataValidations>
  <printOptions horizontalCentered="1"/>
  <pageMargins left="0.31496062992125984" right="0.11811023622047245" top="0.31496062992125984" bottom="0.31496062992125984" header="0.31496062992125984" footer="0.31496062992125984"/>
  <pageSetup paperSize="9" scale="90" fitToHeight="0" orientation="portrait" r:id="rId1"/>
  <headerFooter differentFirst="1"/>
  <rowBreaks count="4" manualBreakCount="4">
    <brk id="65" min="1" max="16" man="1"/>
    <brk id="121" min="1" max="16" man="1"/>
    <brk id="213" min="1" max="16" man="1"/>
    <brk id="26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Caixa de seleção 2">
              <controlPr defaultSize="0" autoFill="0" autoLine="0" autoPict="0">
                <anchor moveWithCells="1">
                  <from>
                    <xdr:col>3</xdr:col>
                    <xdr:colOff>83820</xdr:colOff>
                    <xdr:row>18</xdr:row>
                    <xdr:rowOff>91440</xdr:rowOff>
                  </from>
                  <to>
                    <xdr:col>3</xdr:col>
                    <xdr:colOff>975360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5" name="Caixa de seleção 3">
              <controlPr defaultSize="0" autoFill="0" autoLine="0" autoPict="0">
                <anchor moveWithCells="1">
                  <from>
                    <xdr:col>4</xdr:col>
                    <xdr:colOff>7620</xdr:colOff>
                    <xdr:row>18</xdr:row>
                    <xdr:rowOff>91440</xdr:rowOff>
                  </from>
                  <to>
                    <xdr:col>5</xdr:col>
                    <xdr:colOff>731520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1" r:id="rId6" name="Caixa de seleção 4">
              <controlPr defaultSize="0" autoFill="0" autoLine="0" autoPict="0">
                <anchor moveWithCells="1">
                  <from>
                    <xdr:col>8</xdr:col>
                    <xdr:colOff>175260</xdr:colOff>
                    <xdr:row>18</xdr:row>
                    <xdr:rowOff>91440</xdr:rowOff>
                  </from>
                  <to>
                    <xdr:col>9</xdr:col>
                    <xdr:colOff>1089660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7" name="Caixa de seleção 5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91440</xdr:rowOff>
                  </from>
                  <to>
                    <xdr:col>7</xdr:col>
                    <xdr:colOff>990600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3" r:id="rId8" name="Caixa de seleção 6">
              <controlPr defaultSize="0" autoFill="0" autoLine="0" autoPict="0">
                <anchor moveWithCells="1">
                  <from>
                    <xdr:col>11</xdr:col>
                    <xdr:colOff>76200</xdr:colOff>
                    <xdr:row>18</xdr:row>
                    <xdr:rowOff>91440</xdr:rowOff>
                  </from>
                  <to>
                    <xdr:col>12</xdr:col>
                    <xdr:colOff>60960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4" r:id="rId9" name="Caixa de seleção 6">
              <controlPr defaultSize="0" autoFill="0" autoLine="0" autoPict="0">
                <anchor moveWithCells="1">
                  <from>
                    <xdr:col>13</xdr:col>
                    <xdr:colOff>137160</xdr:colOff>
                    <xdr:row>18</xdr:row>
                    <xdr:rowOff>83820</xdr:rowOff>
                  </from>
                  <to>
                    <xdr:col>14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5" r:id="rId10" name="Caixa de seleção 42">
              <controlPr defaultSize="0" autoFill="0" autoLine="0" autoPict="0">
                <anchor moveWithCells="1">
                  <from>
                    <xdr:col>4</xdr:col>
                    <xdr:colOff>30480</xdr:colOff>
                    <xdr:row>169</xdr:row>
                    <xdr:rowOff>175260</xdr:rowOff>
                  </from>
                  <to>
                    <xdr:col>5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6" r:id="rId11" name="Caixa de seleção 44">
              <controlPr defaultSize="0" autoFill="0" autoLine="0" autoPict="0">
                <anchor moveWithCells="1">
                  <from>
                    <xdr:col>6</xdr:col>
                    <xdr:colOff>22860</xdr:colOff>
                    <xdr:row>169</xdr:row>
                    <xdr:rowOff>175260</xdr:rowOff>
                  </from>
                  <to>
                    <xdr:col>7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7" r:id="rId12" name="Caixa de seleção 45">
              <controlPr defaultSize="0" autoFill="0" autoLine="0" autoPict="0">
                <anchor moveWithCells="1">
                  <from>
                    <xdr:col>8</xdr:col>
                    <xdr:colOff>30480</xdr:colOff>
                    <xdr:row>169</xdr:row>
                    <xdr:rowOff>175260</xdr:rowOff>
                  </from>
                  <to>
                    <xdr:col>9</xdr:col>
                    <xdr:colOff>579120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8" r:id="rId13" name="Caixa de seleção 47">
              <controlPr defaultSize="0" autoFill="0" autoLine="0" autoPict="0">
                <anchor moveWithCells="1">
                  <from>
                    <xdr:col>4</xdr:col>
                    <xdr:colOff>38100</xdr:colOff>
                    <xdr:row>171</xdr:row>
                    <xdr:rowOff>68580</xdr:rowOff>
                  </from>
                  <to>
                    <xdr:col>5</xdr:col>
                    <xdr:colOff>609600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9" r:id="rId14" name="Caixa de seleção 48">
              <controlPr defaultSize="0" autoFill="0" autoLine="0" autoPict="0">
                <anchor moveWithCells="1">
                  <from>
                    <xdr:col>6</xdr:col>
                    <xdr:colOff>22860</xdr:colOff>
                    <xdr:row>171</xdr:row>
                    <xdr:rowOff>68580</xdr:rowOff>
                  </from>
                  <to>
                    <xdr:col>7</xdr:col>
                    <xdr:colOff>563880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0" r:id="rId15" name="Caixa de seleção 49">
              <controlPr defaultSize="0" autoFill="0" autoLine="0" autoPict="0">
                <anchor moveWithCells="1">
                  <from>
                    <xdr:col>8</xdr:col>
                    <xdr:colOff>22860</xdr:colOff>
                    <xdr:row>171</xdr:row>
                    <xdr:rowOff>68580</xdr:rowOff>
                  </from>
                  <to>
                    <xdr:col>9</xdr:col>
                    <xdr:colOff>899160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1" r:id="rId16" name="Caixa de seleção 50">
              <controlPr defaultSize="0" autoFill="0" autoLine="0" autoPict="0">
                <anchor moveWithCells="1">
                  <from>
                    <xdr:col>4</xdr:col>
                    <xdr:colOff>30480</xdr:colOff>
                    <xdr:row>175</xdr:row>
                    <xdr:rowOff>76200</xdr:rowOff>
                  </from>
                  <to>
                    <xdr:col>5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2" r:id="rId17" name="Caixa de seleção 51">
              <controlPr defaultSize="0" autoFill="0" autoLine="0" autoPict="0">
                <anchor moveWithCells="1">
                  <from>
                    <xdr:col>6</xdr:col>
                    <xdr:colOff>22860</xdr:colOff>
                    <xdr:row>175</xdr:row>
                    <xdr:rowOff>76200</xdr:rowOff>
                  </from>
                  <to>
                    <xdr:col>7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3" r:id="rId18" name="Caixa de seleção 52">
              <controlPr defaultSize="0" autoFill="0" autoLine="0" autoPict="0">
                <anchor moveWithCells="1">
                  <from>
                    <xdr:col>8</xdr:col>
                    <xdr:colOff>30480</xdr:colOff>
                    <xdr:row>175</xdr:row>
                    <xdr:rowOff>76200</xdr:rowOff>
                  </from>
                  <to>
                    <xdr:col>9</xdr:col>
                    <xdr:colOff>579120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4" r:id="rId19" name="Caixa de seleção 53">
              <controlPr defaultSize="0" autoFill="0" autoLine="0" autoPict="0">
                <anchor moveWithCells="1">
                  <from>
                    <xdr:col>4</xdr:col>
                    <xdr:colOff>30480</xdr:colOff>
                    <xdr:row>177</xdr:row>
                    <xdr:rowOff>76200</xdr:rowOff>
                  </from>
                  <to>
                    <xdr:col>5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5" r:id="rId20" name="Caixa de seleção 54">
              <controlPr defaultSize="0" autoFill="0" autoLine="0" autoPict="0">
                <anchor moveWithCells="1">
                  <from>
                    <xdr:col>6</xdr:col>
                    <xdr:colOff>22860</xdr:colOff>
                    <xdr:row>177</xdr:row>
                    <xdr:rowOff>76200</xdr:rowOff>
                  </from>
                  <to>
                    <xdr:col>7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6" r:id="rId21" name="Caixa de seleção 55">
              <controlPr defaultSize="0" autoFill="0" autoLine="0" autoPict="0">
                <anchor moveWithCells="1">
                  <from>
                    <xdr:col>8</xdr:col>
                    <xdr:colOff>30480</xdr:colOff>
                    <xdr:row>177</xdr:row>
                    <xdr:rowOff>76200</xdr:rowOff>
                  </from>
                  <to>
                    <xdr:col>9</xdr:col>
                    <xdr:colOff>579120</xdr:colOff>
                    <xdr:row>179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7" r:id="rId22" name="Caixa de seleção 59">
              <controlPr defaultSize="0" autoFill="0" autoLine="0" autoPict="0">
                <anchor moveWithCells="1">
                  <from>
                    <xdr:col>4</xdr:col>
                    <xdr:colOff>30480</xdr:colOff>
                    <xdr:row>179</xdr:row>
                    <xdr:rowOff>76200</xdr:rowOff>
                  </from>
                  <to>
                    <xdr:col>5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8" r:id="rId23" name="Caixa de seleção 60">
              <controlPr defaultSize="0" autoFill="0" autoLine="0" autoPict="0">
                <anchor moveWithCells="1">
                  <from>
                    <xdr:col>6</xdr:col>
                    <xdr:colOff>22860</xdr:colOff>
                    <xdr:row>179</xdr:row>
                    <xdr:rowOff>76200</xdr:rowOff>
                  </from>
                  <to>
                    <xdr:col>7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9" r:id="rId24" name="Caixa de seleção 61">
              <controlPr defaultSize="0" autoFill="0" autoLine="0" autoPict="0">
                <anchor moveWithCells="1">
                  <from>
                    <xdr:col>8</xdr:col>
                    <xdr:colOff>30480</xdr:colOff>
                    <xdr:row>179</xdr:row>
                    <xdr:rowOff>76200</xdr:rowOff>
                  </from>
                  <to>
                    <xdr:col>9</xdr:col>
                    <xdr:colOff>579120</xdr:colOff>
                    <xdr:row>181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0" r:id="rId25" name="Caixa de seleção 62">
              <controlPr defaultSize="0" autoFill="0" autoLine="0" autoPict="0">
                <anchor moveWithCells="1">
                  <from>
                    <xdr:col>4</xdr:col>
                    <xdr:colOff>30480</xdr:colOff>
                    <xdr:row>181</xdr:row>
                    <xdr:rowOff>76200</xdr:rowOff>
                  </from>
                  <to>
                    <xdr:col>5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1" r:id="rId26" name="Caixa de seleção 63">
              <controlPr defaultSize="0" autoFill="0" autoLine="0" autoPict="0">
                <anchor moveWithCells="1">
                  <from>
                    <xdr:col>6</xdr:col>
                    <xdr:colOff>22860</xdr:colOff>
                    <xdr:row>181</xdr:row>
                    <xdr:rowOff>76200</xdr:rowOff>
                  </from>
                  <to>
                    <xdr:col>7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2" r:id="rId27" name="Caixa de seleção 64">
              <controlPr defaultSize="0" autoFill="0" autoLine="0" autoPict="0">
                <anchor moveWithCells="1">
                  <from>
                    <xdr:col>8</xdr:col>
                    <xdr:colOff>30480</xdr:colOff>
                    <xdr:row>181</xdr:row>
                    <xdr:rowOff>76200</xdr:rowOff>
                  </from>
                  <to>
                    <xdr:col>9</xdr:col>
                    <xdr:colOff>579120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3" r:id="rId28" name="Caixa de seleção 107">
              <controlPr defaultSize="0" autoFill="0" autoLine="0" autoPict="0">
                <anchor moveWithCells="1">
                  <from>
                    <xdr:col>4</xdr:col>
                    <xdr:colOff>30480</xdr:colOff>
                    <xdr:row>173</xdr:row>
                    <xdr:rowOff>68580</xdr:rowOff>
                  </from>
                  <to>
                    <xdr:col>5</xdr:col>
                    <xdr:colOff>579120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4" r:id="rId29" name="Caixa de seleção 108">
              <controlPr defaultSize="0" autoFill="0" autoLine="0" autoPict="0">
                <anchor moveWithCells="1">
                  <from>
                    <xdr:col>6</xdr:col>
                    <xdr:colOff>22860</xdr:colOff>
                    <xdr:row>173</xdr:row>
                    <xdr:rowOff>68580</xdr:rowOff>
                  </from>
                  <to>
                    <xdr:col>7</xdr:col>
                    <xdr:colOff>563880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5" r:id="rId30" name="Caixa de seleção 109">
              <controlPr defaultSize="0" autoFill="0" autoLine="0" autoPict="0">
                <anchor moveWithCells="1">
                  <from>
                    <xdr:col>6</xdr:col>
                    <xdr:colOff>22860</xdr:colOff>
                    <xdr:row>183</xdr:row>
                    <xdr:rowOff>76200</xdr:rowOff>
                  </from>
                  <to>
                    <xdr:col>7</xdr:col>
                    <xdr:colOff>594360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6" r:id="rId31" name="Caixa de seleção 110">
              <controlPr defaultSize="0" autoFill="0" autoLine="0" autoPict="0">
                <anchor moveWithCells="1">
                  <from>
                    <xdr:col>4</xdr:col>
                    <xdr:colOff>22860</xdr:colOff>
                    <xdr:row>183</xdr:row>
                    <xdr:rowOff>76200</xdr:rowOff>
                  </from>
                  <to>
                    <xdr:col>5</xdr:col>
                    <xdr:colOff>579120</xdr:colOff>
                    <xdr:row>185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7" r:id="rId32" name="Caixa de seleção 111">
              <controlPr defaultSize="0" autoFill="0" autoLine="0" autoPict="0">
                <anchor moveWithCells="1">
                  <from>
                    <xdr:col>8</xdr:col>
                    <xdr:colOff>30480</xdr:colOff>
                    <xdr:row>183</xdr:row>
                    <xdr:rowOff>76200</xdr:rowOff>
                  </from>
                  <to>
                    <xdr:col>9</xdr:col>
                    <xdr:colOff>579120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8" r:id="rId33" name="Caixa de seleção 112">
              <controlPr defaultSize="0" autoFill="0" autoLine="0" autoPict="0">
                <anchor moveWithCells="1">
                  <from>
                    <xdr:col>4</xdr:col>
                    <xdr:colOff>22860</xdr:colOff>
                    <xdr:row>184</xdr:row>
                    <xdr:rowOff>182880</xdr:rowOff>
                  </from>
                  <to>
                    <xdr:col>5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9" r:id="rId34" name="Caixa de seleção 46">
              <controlPr defaultSize="0" autoFill="0" autoLine="0" autoPict="0">
                <anchor moveWithCells="1">
                  <from>
                    <xdr:col>2</xdr:col>
                    <xdr:colOff>53340</xdr:colOff>
                    <xdr:row>199</xdr:row>
                    <xdr:rowOff>7620</xdr:rowOff>
                  </from>
                  <to>
                    <xdr:col>3</xdr:col>
                    <xdr:colOff>723900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0" r:id="rId35" name="Caixa de seleção 65">
              <controlPr defaultSize="0" autoFill="0" autoLine="0" autoPict="0">
                <anchor moveWithCells="1">
                  <from>
                    <xdr:col>2</xdr:col>
                    <xdr:colOff>53340</xdr:colOff>
                    <xdr:row>190</xdr:row>
                    <xdr:rowOff>7620</xdr:rowOff>
                  </from>
                  <to>
                    <xdr:col>3</xdr:col>
                    <xdr:colOff>708660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1" r:id="rId36" name="Caixa de seleção 66">
              <controlPr defaultSize="0" autoFill="0" autoLine="0" autoPict="0">
                <anchor moveWithCells="1">
                  <from>
                    <xdr:col>2</xdr:col>
                    <xdr:colOff>53340</xdr:colOff>
                    <xdr:row>189</xdr:row>
                    <xdr:rowOff>7620</xdr:rowOff>
                  </from>
                  <to>
                    <xdr:col>5</xdr:col>
                    <xdr:colOff>99060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2" r:id="rId37" name="Caixa de seleção 67">
              <controlPr defaultSize="0" autoFill="0" autoLine="0" autoPict="0">
                <anchor moveWithCells="1">
                  <from>
                    <xdr:col>4</xdr:col>
                    <xdr:colOff>137160</xdr:colOff>
                    <xdr:row>189</xdr:row>
                    <xdr:rowOff>7620</xdr:rowOff>
                  </from>
                  <to>
                    <xdr:col>7</xdr:col>
                    <xdr:colOff>259080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3" r:id="rId38" name="Caixa de seleção 69">
              <controlPr defaultSize="0" autoFill="0" autoLine="0" autoPict="0">
                <anchor moveWithCells="1">
                  <from>
                    <xdr:col>2</xdr:col>
                    <xdr:colOff>53340</xdr:colOff>
                    <xdr:row>198</xdr:row>
                    <xdr:rowOff>7620</xdr:rowOff>
                  </from>
                  <to>
                    <xdr:col>5</xdr:col>
                    <xdr:colOff>22860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4" r:id="rId39" name="Caixa de seleção 70">
              <controlPr defaultSize="0" autoFill="0" autoLine="0" autoPict="0">
                <anchor moveWithCells="1">
                  <from>
                    <xdr:col>4</xdr:col>
                    <xdr:colOff>137160</xdr:colOff>
                    <xdr:row>198</xdr:row>
                    <xdr:rowOff>7620</xdr:rowOff>
                  </from>
                  <to>
                    <xdr:col>7</xdr:col>
                    <xdr:colOff>83820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5" r:id="rId40" name="Caixa de seleção 71">
              <controlPr defaultSize="0" autoFill="0" autoLine="0" autoPict="0">
                <anchor moveWithCells="1">
                  <from>
                    <xdr:col>2</xdr:col>
                    <xdr:colOff>53340</xdr:colOff>
                    <xdr:row>195</xdr:row>
                    <xdr:rowOff>7620</xdr:rowOff>
                  </from>
                  <to>
                    <xdr:col>3</xdr:col>
                    <xdr:colOff>708660</xdr:colOff>
                    <xdr:row>196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6" r:id="rId41" name="Caixa de seleção 72">
              <controlPr defaultSize="0" autoFill="0" autoLine="0" autoPict="0">
                <anchor moveWithCells="1">
                  <from>
                    <xdr:col>2</xdr:col>
                    <xdr:colOff>53340</xdr:colOff>
                    <xdr:row>193</xdr:row>
                    <xdr:rowOff>7620</xdr:rowOff>
                  </from>
                  <to>
                    <xdr:col>4</xdr:col>
                    <xdr:colOff>137160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7" r:id="rId42" name="Caixa de seleção 73">
              <controlPr defaultSize="0" autoFill="0" autoLine="0" autoPict="0">
                <anchor moveWithCells="1">
                  <from>
                    <xdr:col>4</xdr:col>
                    <xdr:colOff>137160</xdr:colOff>
                    <xdr:row>193</xdr:row>
                    <xdr:rowOff>7620</xdr:rowOff>
                  </from>
                  <to>
                    <xdr:col>5</xdr:col>
                    <xdr:colOff>708660</xdr:colOff>
                    <xdr:row>194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8" r:id="rId43" name="Caixa de seleção 77">
              <controlPr defaultSize="0" autoFill="0" autoLine="0" autoPict="0">
                <anchor moveWithCells="1">
                  <from>
                    <xdr:col>2</xdr:col>
                    <xdr:colOff>53340</xdr:colOff>
                    <xdr:row>194</xdr:row>
                    <xdr:rowOff>7620</xdr:rowOff>
                  </from>
                  <to>
                    <xdr:col>3</xdr:col>
                    <xdr:colOff>975360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9" r:id="rId44" name="Caixa de seleção 78">
              <controlPr defaultSize="0" autoFill="0" autoLine="0" autoPict="0">
                <anchor moveWithCells="1">
                  <from>
                    <xdr:col>4</xdr:col>
                    <xdr:colOff>137160</xdr:colOff>
                    <xdr:row>194</xdr:row>
                    <xdr:rowOff>7620</xdr:rowOff>
                  </from>
                  <to>
                    <xdr:col>6</xdr:col>
                    <xdr:colOff>99060</xdr:colOff>
                    <xdr:row>195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0" r:id="rId45" name="Caixa de seleção 80">
              <controlPr defaultSize="0" autoFill="0" autoLine="0" autoPict="0">
                <anchor moveWithCells="1">
                  <from>
                    <xdr:col>2</xdr:col>
                    <xdr:colOff>53340</xdr:colOff>
                    <xdr:row>211</xdr:row>
                    <xdr:rowOff>0</xdr:rowOff>
                  </from>
                  <to>
                    <xdr:col>3</xdr:col>
                    <xdr:colOff>708660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1" r:id="rId46" name="Caixa de seleção 81">
              <controlPr defaultSize="0" autoFill="0" autoLine="0" autoPict="0">
                <anchor moveWithCells="1">
                  <from>
                    <xdr:col>4</xdr:col>
                    <xdr:colOff>144780</xdr:colOff>
                    <xdr:row>211</xdr:row>
                    <xdr:rowOff>0</xdr:rowOff>
                  </from>
                  <to>
                    <xdr:col>5</xdr:col>
                    <xdr:colOff>685800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2" r:id="rId47" name="Caixa de seleção 83">
              <controlPr defaultSize="0" autoFill="0" autoLine="0" autoPict="0">
                <anchor moveWithCells="1">
                  <from>
                    <xdr:col>2</xdr:col>
                    <xdr:colOff>53340</xdr:colOff>
                    <xdr:row>208</xdr:row>
                    <xdr:rowOff>7620</xdr:rowOff>
                  </from>
                  <to>
                    <xdr:col>3</xdr:col>
                    <xdr:colOff>708660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3" r:id="rId48" name="Caixa de seleção 84">
              <controlPr defaultSize="0" autoFill="0" autoLine="0" autoPict="0">
                <anchor moveWithCells="1">
                  <from>
                    <xdr:col>4</xdr:col>
                    <xdr:colOff>144780</xdr:colOff>
                    <xdr:row>208</xdr:row>
                    <xdr:rowOff>7620</xdr:rowOff>
                  </from>
                  <to>
                    <xdr:col>5</xdr:col>
                    <xdr:colOff>685800</xdr:colOff>
                    <xdr:row>209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4" r:id="rId49" name="Caixa de seleção 85">
              <controlPr defaultSize="0" autoFill="0" autoLine="0" autoPict="0">
                <anchor moveWithCells="1">
                  <from>
                    <xdr:col>5</xdr:col>
                    <xdr:colOff>838200</xdr:colOff>
                    <xdr:row>208</xdr:row>
                    <xdr:rowOff>15240</xdr:rowOff>
                  </from>
                  <to>
                    <xdr:col>7</xdr:col>
                    <xdr:colOff>403860</xdr:colOff>
                    <xdr:row>209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5" r:id="rId50" name="Caixa de seleção 86">
              <controlPr defaultSize="0" autoFill="0" autoLine="0" autoPict="0">
                <anchor moveWithCells="1">
                  <from>
                    <xdr:col>8</xdr:col>
                    <xdr:colOff>137160</xdr:colOff>
                    <xdr:row>189</xdr:row>
                    <xdr:rowOff>7620</xdr:rowOff>
                  </from>
                  <to>
                    <xdr:col>9</xdr:col>
                    <xdr:colOff>708660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6" r:id="rId51" name="Caixa de seleção 87">
              <controlPr defaultSize="0" autoFill="0" autoLine="0" autoPict="0">
                <anchor moveWithCells="1">
                  <from>
                    <xdr:col>10</xdr:col>
                    <xdr:colOff>137160</xdr:colOff>
                    <xdr:row>189</xdr:row>
                    <xdr:rowOff>7620</xdr:rowOff>
                  </from>
                  <to>
                    <xdr:col>11</xdr:col>
                    <xdr:colOff>670560</xdr:colOff>
                    <xdr:row>190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7" r:id="rId52" name="Caixa de seleção 92">
              <controlPr defaultSize="0" autoFill="0" autoLine="0" autoPict="0">
                <anchor moveWithCells="1">
                  <from>
                    <xdr:col>8</xdr:col>
                    <xdr:colOff>137160</xdr:colOff>
                    <xdr:row>198</xdr:row>
                    <xdr:rowOff>167640</xdr:rowOff>
                  </from>
                  <to>
                    <xdr:col>9</xdr:col>
                    <xdr:colOff>693420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8" r:id="rId53" name="Caixa de seleção 93">
              <controlPr defaultSize="0" autoFill="0" autoLine="0" autoPict="0">
                <anchor moveWithCells="1">
                  <from>
                    <xdr:col>8</xdr:col>
                    <xdr:colOff>137160</xdr:colOff>
                    <xdr:row>197</xdr:row>
                    <xdr:rowOff>175260</xdr:rowOff>
                  </from>
                  <to>
                    <xdr:col>9</xdr:col>
                    <xdr:colOff>708660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9" r:id="rId54" name="Caixa de seleção 94">
              <controlPr defaultSize="0" autoFill="0" autoLine="0" autoPict="0">
                <anchor moveWithCells="1">
                  <from>
                    <xdr:col>10</xdr:col>
                    <xdr:colOff>137160</xdr:colOff>
                    <xdr:row>197</xdr:row>
                    <xdr:rowOff>175260</xdr:rowOff>
                  </from>
                  <to>
                    <xdr:col>11</xdr:col>
                    <xdr:colOff>693420</xdr:colOff>
                    <xdr:row>199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0" r:id="rId55" name="Caixa de seleção 95">
              <controlPr defaultSize="0" autoFill="0" autoLine="0" autoPict="0">
                <anchor moveWithCells="1">
                  <from>
                    <xdr:col>8</xdr:col>
                    <xdr:colOff>137160</xdr:colOff>
                    <xdr:row>204</xdr:row>
                    <xdr:rowOff>175260</xdr:rowOff>
                  </from>
                  <to>
                    <xdr:col>9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1" r:id="rId56" name="Caixa de seleção 96">
              <controlPr defaultSize="0" autoFill="0" autoLine="0" autoPict="0">
                <anchor moveWithCells="1">
                  <from>
                    <xdr:col>8</xdr:col>
                    <xdr:colOff>137160</xdr:colOff>
                    <xdr:row>203</xdr:row>
                    <xdr:rowOff>175260</xdr:rowOff>
                  </from>
                  <to>
                    <xdr:col>9</xdr:col>
                    <xdr:colOff>708660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2" r:id="rId57" name="Caixa de seleção 97">
              <controlPr defaultSize="0" autoFill="0" autoLine="0" autoPict="0">
                <anchor moveWithCells="1">
                  <from>
                    <xdr:col>10</xdr:col>
                    <xdr:colOff>137160</xdr:colOff>
                    <xdr:row>203</xdr:row>
                    <xdr:rowOff>175260</xdr:rowOff>
                  </from>
                  <to>
                    <xdr:col>11</xdr:col>
                    <xdr:colOff>693420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3" r:id="rId58" name="Caixa de seleção 98">
              <controlPr defaultSize="0" autoFill="0" autoLine="0" autoPict="0">
                <anchor moveWithCells="1">
                  <from>
                    <xdr:col>8</xdr:col>
                    <xdr:colOff>137160</xdr:colOff>
                    <xdr:row>193</xdr:row>
                    <xdr:rowOff>175260</xdr:rowOff>
                  </from>
                  <to>
                    <xdr:col>9</xdr:col>
                    <xdr:colOff>693420</xdr:colOff>
                    <xdr:row>195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4" r:id="rId59" name="Caixa de seleção 104">
              <controlPr defaultSize="0" autoFill="0" autoLine="0" autoPict="0">
                <anchor moveWithCells="1">
                  <from>
                    <xdr:col>2</xdr:col>
                    <xdr:colOff>53340</xdr:colOff>
                    <xdr:row>204</xdr:row>
                    <xdr:rowOff>175260</xdr:rowOff>
                  </from>
                  <to>
                    <xdr:col>3</xdr:col>
                    <xdr:colOff>693420</xdr:colOff>
                    <xdr:row>206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5" r:id="rId60" name="Caixa de seleção 105">
              <controlPr defaultSize="0" autoFill="0" autoLine="0" autoPict="0">
                <anchor moveWithCells="1">
                  <from>
                    <xdr:col>4</xdr:col>
                    <xdr:colOff>129540</xdr:colOff>
                    <xdr:row>203</xdr:row>
                    <xdr:rowOff>175260</xdr:rowOff>
                  </from>
                  <to>
                    <xdr:col>7</xdr:col>
                    <xdr:colOff>7620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6" r:id="rId61" name="Caixa de seleção 106">
              <controlPr defaultSize="0" autoFill="0" autoLine="0" autoPict="0">
                <anchor moveWithCells="1">
                  <from>
                    <xdr:col>2</xdr:col>
                    <xdr:colOff>53340</xdr:colOff>
                    <xdr:row>203</xdr:row>
                    <xdr:rowOff>175260</xdr:rowOff>
                  </from>
                  <to>
                    <xdr:col>4</xdr:col>
                    <xdr:colOff>144780</xdr:colOff>
                    <xdr:row>205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7" r:id="rId62" name="Check Box 59">
              <controlPr defaultSize="0" autoFill="0" autoLine="0" autoPict="0">
                <anchor moveWithCells="1">
                  <from>
                    <xdr:col>12</xdr:col>
                    <xdr:colOff>0</xdr:colOff>
                    <xdr:row>47</xdr:row>
                    <xdr:rowOff>175260</xdr:rowOff>
                  </from>
                  <to>
                    <xdr:col>13</xdr:col>
                    <xdr:colOff>495300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8" r:id="rId63" name="Check Box 60">
              <controlPr defaultSize="0" autoFill="0" autoLine="0" autoPict="0">
                <anchor moveWithCells="1">
                  <from>
                    <xdr:col>13</xdr:col>
                    <xdr:colOff>327660</xdr:colOff>
                    <xdr:row>47</xdr:row>
                    <xdr:rowOff>175260</xdr:rowOff>
                  </from>
                  <to>
                    <xdr:col>14</xdr:col>
                    <xdr:colOff>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9" r:id="rId64" name="Check Box 61">
              <controlPr defaultSize="0" autoFill="0" autoLine="0" autoPict="0">
                <anchor moveWithCells="1">
                  <from>
                    <xdr:col>12</xdr:col>
                    <xdr:colOff>0</xdr:colOff>
                    <xdr:row>50</xdr:row>
                    <xdr:rowOff>53340</xdr:rowOff>
                  </from>
                  <to>
                    <xdr:col>13</xdr:col>
                    <xdr:colOff>495300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0" r:id="rId65" name="Check Box 62">
              <controlPr defaultSize="0" autoFill="0" autoLine="0" autoPict="0">
                <anchor moveWithCells="1">
                  <from>
                    <xdr:col>13</xdr:col>
                    <xdr:colOff>327660</xdr:colOff>
                    <xdr:row>50</xdr:row>
                    <xdr:rowOff>53340</xdr:rowOff>
                  </from>
                  <to>
                    <xdr:col>14</xdr:col>
                    <xdr:colOff>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1" r:id="rId66" name="Check Box 63">
              <controlPr defaultSize="0" autoFill="0" autoLine="0" autoPict="0">
                <anchor moveWithCells="1">
                  <from>
                    <xdr:col>12</xdr:col>
                    <xdr:colOff>0</xdr:colOff>
                    <xdr:row>52</xdr:row>
                    <xdr:rowOff>45720</xdr:rowOff>
                  </from>
                  <to>
                    <xdr:col>13</xdr:col>
                    <xdr:colOff>495300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2" r:id="rId67" name="Check Box 64">
              <controlPr defaultSize="0" autoFill="0" autoLine="0" autoPict="0">
                <anchor moveWithCells="1">
                  <from>
                    <xdr:col>13</xdr:col>
                    <xdr:colOff>327660</xdr:colOff>
                    <xdr:row>52</xdr:row>
                    <xdr:rowOff>45720</xdr:rowOff>
                  </from>
                  <to>
                    <xdr:col>14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3" r:id="rId68" name="Check Box 65">
              <controlPr defaultSize="0" autoFill="0" autoLine="0" autoPict="0">
                <anchor moveWithCells="1">
                  <from>
                    <xdr:col>12</xdr:col>
                    <xdr:colOff>0</xdr:colOff>
                    <xdr:row>54</xdr:row>
                    <xdr:rowOff>53340</xdr:rowOff>
                  </from>
                  <to>
                    <xdr:col>13</xdr:col>
                    <xdr:colOff>495300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4" r:id="rId69" name="Check Box 66">
              <controlPr defaultSize="0" autoFill="0" autoLine="0" autoPict="0">
                <anchor moveWithCells="1">
                  <from>
                    <xdr:col>13</xdr:col>
                    <xdr:colOff>327660</xdr:colOff>
                    <xdr:row>54</xdr:row>
                    <xdr:rowOff>53340</xdr:rowOff>
                  </from>
                  <to>
                    <xdr:col>14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5" r:id="rId70" name="Check Box 67">
              <controlPr defaultSize="0" autoFill="0" autoLine="0" autoPict="0">
                <anchor moveWithCells="1">
                  <from>
                    <xdr:col>12</xdr:col>
                    <xdr:colOff>0</xdr:colOff>
                    <xdr:row>56</xdr:row>
                    <xdr:rowOff>53340</xdr:rowOff>
                  </from>
                  <to>
                    <xdr:col>13</xdr:col>
                    <xdr:colOff>495300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6" r:id="rId71" name="Check Box 68">
              <controlPr defaultSize="0" autoFill="0" autoLine="0" autoPict="0">
                <anchor moveWithCells="1">
                  <from>
                    <xdr:col>13</xdr:col>
                    <xdr:colOff>327660</xdr:colOff>
                    <xdr:row>56</xdr:row>
                    <xdr:rowOff>53340</xdr:rowOff>
                  </from>
                  <to>
                    <xdr:col>14</xdr:col>
                    <xdr:colOff>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7" r:id="rId72" name="Check Box 69">
              <controlPr defaultSize="0" autoFill="0" autoLine="0" autoPict="0">
                <anchor moveWithCells="1">
                  <from>
                    <xdr:col>12</xdr:col>
                    <xdr:colOff>0</xdr:colOff>
                    <xdr:row>59</xdr:row>
                    <xdr:rowOff>53340</xdr:rowOff>
                  </from>
                  <to>
                    <xdr:col>13</xdr:col>
                    <xdr:colOff>495300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8" r:id="rId73" name="Check Box 70">
              <controlPr defaultSize="0" autoFill="0" autoLine="0" autoPict="0">
                <anchor moveWithCells="1">
                  <from>
                    <xdr:col>13</xdr:col>
                    <xdr:colOff>327660</xdr:colOff>
                    <xdr:row>59</xdr:row>
                    <xdr:rowOff>53340</xdr:rowOff>
                  </from>
                  <to>
                    <xdr:col>14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9" r:id="rId74" name="Check Box 71">
              <controlPr defaultSize="0" autoFill="0" autoLine="0" autoPict="0">
                <anchor moveWithCells="1">
                  <from>
                    <xdr:col>12</xdr:col>
                    <xdr:colOff>0</xdr:colOff>
                    <xdr:row>62</xdr:row>
                    <xdr:rowOff>53340</xdr:rowOff>
                  </from>
                  <to>
                    <xdr:col>13</xdr:col>
                    <xdr:colOff>495300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0" r:id="rId75" name="Check Box 72">
              <controlPr defaultSize="0" autoFill="0" autoLine="0" autoPict="0">
                <anchor moveWithCells="1">
                  <from>
                    <xdr:col>13</xdr:col>
                    <xdr:colOff>327660</xdr:colOff>
                    <xdr:row>62</xdr:row>
                    <xdr:rowOff>53340</xdr:rowOff>
                  </from>
                  <to>
                    <xdr:col>14</xdr:col>
                    <xdr:colOff>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1" r:id="rId76" name="Caixa de seleção 112">
              <controlPr defaultSize="0" autoFill="0" autoLine="0" autoPict="0">
                <anchor moveWithCells="1">
                  <from>
                    <xdr:col>6</xdr:col>
                    <xdr:colOff>22860</xdr:colOff>
                    <xdr:row>184</xdr:row>
                    <xdr:rowOff>182880</xdr:rowOff>
                  </from>
                  <to>
                    <xdr:col>7</xdr:col>
                    <xdr:colOff>571500</xdr:colOff>
                    <xdr:row>186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2" r:id="rId77" name="Caixa de seleção 112">
              <controlPr defaultSize="0" autoFill="0" autoLine="0" autoPict="0">
                <anchor moveWithCells="1">
                  <from>
                    <xdr:col>8</xdr:col>
                    <xdr:colOff>137160</xdr:colOff>
                    <xdr:row>190</xdr:row>
                    <xdr:rowOff>0</xdr:rowOff>
                  </from>
                  <to>
                    <xdr:col>9</xdr:col>
                    <xdr:colOff>685800</xdr:colOff>
                    <xdr:row>191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3" r:id="rId78" name="Caixa de seleção 68">
              <controlPr defaultSize="0" autoFill="0" autoLine="0" autoPict="0">
                <anchor moveWithCells="1">
                  <from>
                    <xdr:col>4</xdr:col>
                    <xdr:colOff>137160</xdr:colOff>
                    <xdr:row>199</xdr:row>
                    <xdr:rowOff>7620</xdr:rowOff>
                  </from>
                  <to>
                    <xdr:col>5</xdr:col>
                    <xdr:colOff>708660</xdr:colOff>
                    <xdr:row>200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4" r:id="rId79" name="Caixa de seleção 82">
              <controlPr defaultSize="0" autoFill="0" autoLine="0" autoPict="0">
                <anchor moveWithCells="1">
                  <from>
                    <xdr:col>5</xdr:col>
                    <xdr:colOff>845820</xdr:colOff>
                    <xdr:row>211</xdr:row>
                    <xdr:rowOff>0</xdr:rowOff>
                  </from>
                  <to>
                    <xdr:col>7</xdr:col>
                    <xdr:colOff>403860</xdr:colOff>
                    <xdr:row>212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5" r:id="rId80" name="Caixa de seleção 99">
              <controlPr defaultSize="0" autoFill="0" autoLine="0" autoPict="0">
                <anchor moveWithCells="1">
                  <from>
                    <xdr:col>8</xdr:col>
                    <xdr:colOff>137160</xdr:colOff>
                    <xdr:row>192</xdr:row>
                    <xdr:rowOff>175260</xdr:rowOff>
                  </from>
                  <to>
                    <xdr:col>10</xdr:col>
                    <xdr:colOff>38100</xdr:colOff>
                    <xdr:row>194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6" r:id="rId81" name="Caixa de seleção 100">
              <controlPr defaultSize="0" autoFill="0" autoLine="0" autoPict="0">
                <anchor moveWithCells="1">
                  <from>
                    <xdr:col>10</xdr:col>
                    <xdr:colOff>137160</xdr:colOff>
                    <xdr:row>192</xdr:row>
                    <xdr:rowOff>175260</xdr:rowOff>
                  </from>
                  <to>
                    <xdr:col>12</xdr:col>
                    <xdr:colOff>144780</xdr:colOff>
                    <xdr:row>194</xdr:row>
                    <xdr:rowOff>68580</xdr:rowOff>
                  </to>
                </anchor>
              </controlPr>
            </control>
          </mc:Choice>
        </mc:AlternateContent>
      </controls>
    </mc:Choice>
  </mc:AlternateContent>
  <tableParts count="3">
    <tablePart r:id="rId82"/>
    <tablePart r:id="rId83"/>
    <tablePart r:id="rId8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0467-9FEA-4578-A662-29517E0915D5}">
  <dimension ref="A1:AK104"/>
  <sheetViews>
    <sheetView showGridLines="0" showRowColHeaders="0" zoomScaleNormal="100" workbookViewId="0">
      <selection activeCell="G4" sqref="G4"/>
    </sheetView>
  </sheetViews>
  <sheetFormatPr defaultColWidth="0" defaultRowHeight="0" customHeight="1" zeroHeight="1" x14ac:dyDescent="0.2"/>
  <cols>
    <col min="1" max="1" width="1.61328125" customWidth="1"/>
    <col min="2" max="2" width="6.05078125" style="324" customWidth="1"/>
    <col min="3" max="3" width="10.0859375" style="324" customWidth="1"/>
    <col min="4" max="4" width="9.953125" style="324" customWidth="1"/>
    <col min="5" max="5" width="1.4765625" customWidth="1"/>
    <col min="6" max="6" width="9.28125" style="348" customWidth="1"/>
    <col min="7" max="7" width="1.4765625" customWidth="1"/>
    <col min="8" max="8" width="9.28125" style="348" customWidth="1"/>
    <col min="9" max="9" width="1.4765625" customWidth="1"/>
    <col min="10" max="10" width="9.28125" style="348" customWidth="1"/>
    <col min="11" max="11" width="1.4765625" customWidth="1"/>
    <col min="12" max="12" width="9.28125" style="348" customWidth="1"/>
    <col min="13" max="13" width="1.4765625" customWidth="1"/>
    <col min="14" max="14" width="9.28125" style="348" customWidth="1"/>
    <col min="15" max="15" width="1.4765625" customWidth="1"/>
    <col min="16" max="16" width="9.28125" style="348" customWidth="1"/>
    <col min="17" max="17" width="2.95703125" customWidth="1"/>
    <col min="18" max="18" width="9.14453125" style="324" hidden="1" customWidth="1"/>
    <col min="19" max="20" width="9.14453125" style="339" hidden="1" customWidth="1"/>
    <col min="21" max="26" width="10.625" style="339" hidden="1" customWidth="1"/>
    <col min="27" max="27" width="9.14453125" style="339" hidden="1" customWidth="1"/>
    <col min="28" max="28" width="10.4921875" style="339" hidden="1" customWidth="1"/>
    <col min="29" max="33" width="9.14453125" style="339" hidden="1" customWidth="1"/>
    <col min="34" max="37" width="0" style="339" hidden="1" customWidth="1"/>
    <col min="38" max="16384" width="9.14453125" style="324" hidden="1"/>
  </cols>
  <sheetData>
    <row r="1" spans="1:37" customFormat="1" ht="15" x14ac:dyDescent="0.2">
      <c r="F1" s="85"/>
      <c r="H1" s="85"/>
      <c r="J1" s="85"/>
      <c r="L1" s="85"/>
      <c r="N1" s="85"/>
      <c r="P1" s="85"/>
    </row>
    <row r="2" spans="1:37" customFormat="1" ht="13.9" customHeight="1" x14ac:dyDescent="0.2">
      <c r="F2" s="85"/>
      <c r="H2" s="85"/>
      <c r="J2" s="85"/>
      <c r="L2" s="85"/>
      <c r="N2" s="85"/>
      <c r="P2" s="85"/>
    </row>
    <row r="3" spans="1:37" customFormat="1" ht="15" x14ac:dyDescent="0.2">
      <c r="B3" s="102"/>
      <c r="F3" s="85"/>
      <c r="H3" s="85"/>
      <c r="J3" s="85"/>
      <c r="L3" s="85"/>
      <c r="N3" s="85"/>
      <c r="P3" s="85"/>
    </row>
    <row r="4" spans="1:37" customFormat="1" ht="15" x14ac:dyDescent="0.2">
      <c r="F4" s="85"/>
      <c r="H4" s="85"/>
      <c r="J4" s="85"/>
      <c r="L4" s="85"/>
      <c r="N4" s="85"/>
      <c r="P4" s="85"/>
    </row>
    <row r="5" spans="1:37" customFormat="1" ht="14.45" customHeight="1" x14ac:dyDescent="0.2">
      <c r="A5" s="316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</row>
    <row r="6" spans="1:37" customFormat="1" ht="15" customHeight="1" thickBot="1" x14ac:dyDescent="0.25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</row>
    <row r="7" spans="1:37" customFormat="1" ht="15" customHeight="1" thickTop="1" thickBot="1" x14ac:dyDescent="0.25">
      <c r="A7" s="316"/>
      <c r="B7" s="316"/>
      <c r="C7" s="316"/>
      <c r="D7" s="316"/>
      <c r="E7" s="317"/>
      <c r="F7" s="316"/>
      <c r="G7" s="317"/>
      <c r="H7" s="316"/>
      <c r="I7" s="317"/>
      <c r="J7" s="316"/>
      <c r="K7" s="317"/>
      <c r="L7" s="316"/>
      <c r="M7" s="317"/>
      <c r="N7" s="316"/>
      <c r="O7" s="317"/>
      <c r="P7" s="316"/>
      <c r="Q7" s="317"/>
    </row>
    <row r="8" spans="1:37" customFormat="1" ht="15" customHeight="1" thickTop="1" thickBot="1" x14ac:dyDescent="0.4">
      <c r="B8" s="318"/>
      <c r="C8" s="318"/>
      <c r="D8" s="318"/>
      <c r="E8" s="319"/>
      <c r="F8" s="320"/>
      <c r="G8" s="319"/>
      <c r="H8" s="320"/>
      <c r="I8" s="319"/>
      <c r="J8" s="320"/>
      <c r="K8" s="319"/>
      <c r="L8" s="320"/>
      <c r="M8" s="319"/>
      <c r="N8" s="320"/>
      <c r="O8" s="319"/>
      <c r="P8" s="85"/>
      <c r="Q8" s="321"/>
    </row>
    <row r="9" spans="1:37" ht="12" customHeight="1" thickTop="1" thickBot="1" x14ac:dyDescent="0.25">
      <c r="B9"/>
      <c r="C9"/>
      <c r="D9" s="310" t="s">
        <v>392</v>
      </c>
      <c r="E9" s="310"/>
      <c r="F9" s="322" t="str">
        <f>IF('Avaliação Física 1'!$N$15="","-",'Avaliação Física 1'!$N$15)</f>
        <v>-</v>
      </c>
      <c r="G9" s="323"/>
      <c r="H9" s="322" t="str">
        <f>IF('Avaliação Física 2'!$N$15="","-",'Avaliação Física 2'!$N$15)</f>
        <v>-</v>
      </c>
      <c r="I9" s="323"/>
      <c r="J9" s="322" t="str">
        <f>IF('Avaliação Física 3'!$N$15="","-",'Avaliação Física 3'!$N$15)</f>
        <v>-</v>
      </c>
      <c r="K9" s="323"/>
      <c r="L9" s="322" t="str">
        <f>IF('Avaliação Física 4'!$N$15="","-",'Avaliação Física 4'!$N$15)</f>
        <v>-</v>
      </c>
      <c r="M9" s="323"/>
      <c r="N9" s="322" t="str">
        <f>IF('Avaliação Física 5'!$N$15="","-",'Avaliação Física 5'!$N$15)</f>
        <v>-</v>
      </c>
      <c r="O9" s="323"/>
      <c r="P9" s="322" t="str">
        <f>IF('Avaliação Física 6'!$N$15="","-",'Avaliação Física 6'!$N$15)</f>
        <v>-</v>
      </c>
      <c r="S9" s="324"/>
      <c r="T9" s="325"/>
      <c r="U9" s="326"/>
      <c r="V9" s="327"/>
      <c r="W9" s="327"/>
      <c r="X9" s="326"/>
      <c r="Y9" s="326"/>
      <c r="Z9" s="326"/>
      <c r="AA9" s="324"/>
      <c r="AB9" s="324"/>
      <c r="AC9" s="324"/>
      <c r="AD9" s="324"/>
      <c r="AE9" s="324"/>
      <c r="AF9" s="324"/>
      <c r="AG9" s="324"/>
      <c r="AH9" s="324"/>
      <c r="AI9" s="324"/>
      <c r="AJ9" s="324"/>
      <c r="AK9" s="324"/>
    </row>
    <row r="10" spans="1:37" customFormat="1" ht="6" customHeight="1" thickTop="1" thickBot="1" x14ac:dyDescent="0.25">
      <c r="D10" s="310"/>
      <c r="E10" s="328"/>
      <c r="F10" s="323"/>
      <c r="G10" s="329"/>
      <c r="H10" s="323"/>
      <c r="I10" s="329"/>
      <c r="J10" s="323"/>
      <c r="K10" s="329"/>
      <c r="L10" s="323"/>
      <c r="M10" s="329"/>
      <c r="N10" s="323"/>
      <c r="O10" s="329"/>
      <c r="P10" s="323"/>
      <c r="Q10" s="321"/>
      <c r="T10" s="310"/>
      <c r="U10" s="330"/>
      <c r="V10" s="331"/>
      <c r="W10" s="331"/>
      <c r="X10" s="330"/>
      <c r="Y10" s="330"/>
      <c r="Z10" s="330"/>
    </row>
    <row r="11" spans="1:37" ht="12" customHeight="1" thickTop="1" thickBot="1" x14ac:dyDescent="0.25">
      <c r="B11"/>
      <c r="C11" s="426" t="s">
        <v>118</v>
      </c>
      <c r="D11" s="426"/>
      <c r="E11" s="310"/>
      <c r="F11" s="353" t="str">
        <f>IF('Avaliação Física 1'!$F$72="","-",'Avaliação Física 1'!$F$72)</f>
        <v>-</v>
      </c>
      <c r="G11" s="314"/>
      <c r="H11" s="353" t="str">
        <f>IF('Avaliação Física 2'!$F$72="","-",'Avaliação Física 2'!$F$72)</f>
        <v>-</v>
      </c>
      <c r="I11" s="314"/>
      <c r="J11" s="353" t="str">
        <f>IF('Avaliação Física 3'!$F$72="","-",'Avaliação Física 3'!$F$72)</f>
        <v>-</v>
      </c>
      <c r="K11" s="314"/>
      <c r="L11" s="353" t="str">
        <f>IF('Avaliação Física 4'!$F$72="","-",'Avaliação Física 4'!$F$72)</f>
        <v>-</v>
      </c>
      <c r="M11" s="314"/>
      <c r="N11" s="353" t="str">
        <f>IF('Avaliação Física 5'!$F$72="","-",'Avaliação Física 5'!$F$72)</f>
        <v>-</v>
      </c>
      <c r="O11" s="314"/>
      <c r="P11" s="353" t="str">
        <f>IF('Avaliação Física 5'!$F$72="","-",'Avaliação Física 5'!$F$72)</f>
        <v>-</v>
      </c>
      <c r="S11" s="504"/>
      <c r="T11" s="504"/>
      <c r="U11" s="333"/>
      <c r="V11" s="334"/>
      <c r="W11" s="334"/>
      <c r="X11" s="333"/>
      <c r="Y11" s="333"/>
      <c r="Z11" s="333"/>
      <c r="AA11" s="324"/>
      <c r="AB11" s="324"/>
      <c r="AC11" s="324"/>
      <c r="AD11" s="324"/>
      <c r="AE11" s="324"/>
      <c r="AF11" s="324"/>
      <c r="AG11" s="324"/>
      <c r="AH11" s="324"/>
      <c r="AI11" s="324"/>
      <c r="AJ11" s="324"/>
      <c r="AK11" s="324"/>
    </row>
    <row r="12" spans="1:37" customFormat="1" ht="6" customHeight="1" thickTop="1" thickBot="1" x14ac:dyDescent="0.25">
      <c r="C12" s="310"/>
      <c r="D12" s="310"/>
      <c r="E12" s="328"/>
      <c r="F12" s="114"/>
      <c r="G12" s="335"/>
      <c r="H12" s="114"/>
      <c r="I12" s="335"/>
      <c r="J12" s="114"/>
      <c r="K12" s="335"/>
      <c r="L12" s="114"/>
      <c r="M12" s="335"/>
      <c r="N12" s="114"/>
      <c r="O12" s="335"/>
      <c r="P12" s="114"/>
      <c r="Q12" s="321"/>
      <c r="S12" s="310"/>
      <c r="T12" s="310"/>
      <c r="U12" s="32"/>
      <c r="V12" s="336"/>
      <c r="W12" s="336"/>
      <c r="X12" s="32"/>
      <c r="Y12" s="32"/>
      <c r="Z12" s="32"/>
    </row>
    <row r="13" spans="1:37" ht="12" customHeight="1" thickTop="1" thickBot="1" x14ac:dyDescent="0.25">
      <c r="B13"/>
      <c r="C13" s="426" t="s">
        <v>17</v>
      </c>
      <c r="D13" s="426"/>
      <c r="E13" s="310"/>
      <c r="F13" s="352" t="str">
        <f>IF('Avaliação Física 1'!$J$72="","-",'Avaliação Física 1'!$J$72)</f>
        <v>-</v>
      </c>
      <c r="G13" s="314"/>
      <c r="H13" s="352" t="str">
        <f>IF('Avaliação Física 2'!$J$72="","-",'Avaliação Física 2'!$J$72)</f>
        <v>-</v>
      </c>
      <c r="I13" s="314"/>
      <c r="J13" s="352" t="str">
        <f>IF('Avaliação Física 3'!$J$72="","-",'Avaliação Física 3'!$J$72)</f>
        <v>-</v>
      </c>
      <c r="K13" s="314"/>
      <c r="L13" s="352" t="str">
        <f>IF('Avaliação Física 4'!$J$72="","-",'Avaliação Física 4'!$J$72)</f>
        <v>-</v>
      </c>
      <c r="M13" s="314"/>
      <c r="N13" s="352" t="str">
        <f>IF('Avaliação Física 5'!$J$72="","-",'Avaliação Física 5'!$J$72)</f>
        <v>-</v>
      </c>
      <c r="O13" s="314"/>
      <c r="P13" s="352" t="str">
        <f>IF('Avaliação Física 6'!$J$72="","-",'Avaliação Física 6'!$J$72)</f>
        <v>-</v>
      </c>
      <c r="S13" s="504"/>
      <c r="T13" s="504"/>
      <c r="U13" s="333"/>
      <c r="V13" s="337"/>
      <c r="W13" s="337"/>
      <c r="X13" s="333"/>
      <c r="Y13" s="333"/>
      <c r="Z13" s="333"/>
      <c r="AA13" s="324"/>
      <c r="AB13" s="324"/>
      <c r="AC13" s="324"/>
      <c r="AD13" s="324"/>
      <c r="AE13" s="324"/>
      <c r="AF13" s="324"/>
      <c r="AG13" s="324"/>
      <c r="AH13" s="324"/>
      <c r="AI13" s="324"/>
      <c r="AJ13" s="324"/>
      <c r="AK13" s="324"/>
    </row>
    <row r="14" spans="1:37" customFormat="1" ht="16.5" thickTop="1" thickBot="1" x14ac:dyDescent="0.25">
      <c r="C14" s="310"/>
      <c r="D14" s="310"/>
      <c r="E14" s="328"/>
      <c r="F14" s="114"/>
      <c r="G14" s="335"/>
      <c r="H14" s="114"/>
      <c r="I14" s="335"/>
      <c r="J14" s="114"/>
      <c r="K14" s="335"/>
      <c r="L14" s="114"/>
      <c r="M14" s="335"/>
      <c r="N14" s="114"/>
      <c r="O14" s="335"/>
      <c r="P14" s="114"/>
      <c r="Q14" s="321"/>
      <c r="S14" s="310"/>
      <c r="T14" s="310"/>
      <c r="U14" s="32"/>
      <c r="V14" s="213"/>
      <c r="W14" s="213"/>
      <c r="X14" s="32"/>
      <c r="Y14" s="32"/>
      <c r="Z14" s="32"/>
    </row>
    <row r="15" spans="1:37" customFormat="1" ht="16.5" thickTop="1" thickBot="1" x14ac:dyDescent="0.25">
      <c r="D15" s="6"/>
      <c r="E15" s="338"/>
      <c r="F15" s="114"/>
      <c r="G15" s="335"/>
      <c r="H15" s="114"/>
      <c r="I15" s="335"/>
      <c r="J15" s="114"/>
      <c r="K15" s="335"/>
      <c r="L15" s="114"/>
      <c r="M15" s="335"/>
      <c r="N15" s="114"/>
      <c r="O15" s="335"/>
      <c r="P15" s="114"/>
      <c r="Q15" s="321"/>
      <c r="S15" s="426"/>
      <c r="T15" s="426"/>
      <c r="U15" s="32"/>
      <c r="V15" s="213"/>
      <c r="W15" s="213"/>
      <c r="X15" s="32"/>
      <c r="Y15" s="32"/>
      <c r="Z15" s="32"/>
    </row>
    <row r="16" spans="1:37" ht="12" customHeight="1" thickTop="1" thickBot="1" x14ac:dyDescent="0.25">
      <c r="B16" s="502" t="s">
        <v>16</v>
      </c>
      <c r="C16" s="426" t="s">
        <v>18</v>
      </c>
      <c r="D16" s="426"/>
      <c r="E16" s="310"/>
      <c r="F16" s="332" t="str">
        <f>IF('Avaliação Física 1'!$F$77="","-",'Avaliação Física 1'!$F$77)</f>
        <v>-</v>
      </c>
      <c r="G16" s="314"/>
      <c r="H16" s="332" t="str">
        <f>IF('Avaliação Física 2'!$F$77="","-",'Avaliação Física 2'!$F$77)</f>
        <v>-</v>
      </c>
      <c r="I16" s="314"/>
      <c r="J16" s="332" t="str">
        <f>IF('Avaliação Física 3'!$F$77="","-",'Avaliação Física 3'!$F$77)</f>
        <v>-</v>
      </c>
      <c r="K16" s="314"/>
      <c r="L16" s="332" t="str">
        <f>IF('Avaliação Física 4'!$F$77="","-",'Avaliação Física 4'!$F$77)</f>
        <v>-</v>
      </c>
      <c r="M16" s="314"/>
      <c r="N16" s="332" t="str">
        <f>IF('Avaliação Física 5'!$F$77="","-",'Avaliação Física 5'!$F$77)</f>
        <v>-</v>
      </c>
      <c r="O16" s="314"/>
      <c r="P16" s="332" t="str">
        <f>IF('Avaliação Física 6'!$F$77="","-",'Avaliação Física 6'!$F$77)</f>
        <v>-</v>
      </c>
      <c r="S16" s="504"/>
      <c r="T16" s="504"/>
      <c r="AA16" s="324"/>
      <c r="AB16" s="324"/>
      <c r="AC16" s="324"/>
      <c r="AD16" s="324"/>
      <c r="AE16" s="324"/>
      <c r="AF16" s="324"/>
      <c r="AG16" s="324"/>
      <c r="AH16" s="324"/>
      <c r="AI16" s="324"/>
      <c r="AJ16" s="324"/>
      <c r="AK16" s="324"/>
    </row>
    <row r="17" spans="2:37" customFormat="1" ht="6" customHeight="1" thickTop="1" thickBot="1" x14ac:dyDescent="0.25">
      <c r="B17" s="502"/>
      <c r="C17" s="310"/>
      <c r="D17" s="310"/>
      <c r="E17" s="328"/>
      <c r="F17" s="114"/>
      <c r="G17" s="335"/>
      <c r="H17" s="114"/>
      <c r="I17" s="335"/>
      <c r="J17" s="114"/>
      <c r="K17" s="335"/>
      <c r="L17" s="114"/>
      <c r="M17" s="335"/>
      <c r="N17" s="114"/>
      <c r="O17" s="335"/>
      <c r="P17" s="114"/>
      <c r="Q17" s="321"/>
      <c r="S17" s="310"/>
      <c r="T17" s="310"/>
      <c r="U17" s="314"/>
      <c r="V17" s="314"/>
      <c r="W17" s="314"/>
      <c r="X17" s="314"/>
      <c r="Y17" s="314"/>
      <c r="Z17" s="314"/>
    </row>
    <row r="18" spans="2:37" ht="12" customHeight="1" thickTop="1" thickBot="1" x14ac:dyDescent="0.25">
      <c r="B18" s="502"/>
      <c r="C18" s="426" t="s">
        <v>19</v>
      </c>
      <c r="D18" s="426"/>
      <c r="E18" s="310"/>
      <c r="F18" s="332" t="str">
        <f>IF('Avaliação Física 1'!$F$78="","-",'Avaliação Física 1'!$F$78)</f>
        <v>-</v>
      </c>
      <c r="G18" s="314"/>
      <c r="H18" s="332" t="str">
        <f>IF('Avaliação Física 2'!$F$78="","-",'Avaliação Física 2'!$F$78)</f>
        <v>-</v>
      </c>
      <c r="I18" s="314"/>
      <c r="J18" s="332" t="str">
        <f>IF('Avaliação Física 3'!$F$78="","-",'Avaliação Física 3'!$F$78)</f>
        <v>-</v>
      </c>
      <c r="K18" s="314"/>
      <c r="L18" s="332" t="str">
        <f>IF('Avaliação Física 4'!$F$78="","-",'Avaliação Física 4'!$F$78)</f>
        <v>-</v>
      </c>
      <c r="M18" s="314"/>
      <c r="N18" s="332" t="str">
        <f>IF('Avaliação Física 5'!$F$78="","-",'Avaliação Física 5'!$F$78)</f>
        <v>-</v>
      </c>
      <c r="O18" s="314"/>
      <c r="P18" s="332" t="str">
        <f>IF('Avaliação Física 6'!$F$78="","-",'Avaliação Física 6'!$F$78)</f>
        <v>-</v>
      </c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324"/>
      <c r="AD18" s="324"/>
      <c r="AE18" s="324"/>
      <c r="AF18" s="324"/>
      <c r="AG18" s="324"/>
      <c r="AH18" s="324"/>
      <c r="AI18" s="324"/>
      <c r="AJ18" s="324"/>
      <c r="AK18" s="324"/>
    </row>
    <row r="19" spans="2:37" customFormat="1" ht="6" customHeight="1" thickTop="1" thickBot="1" x14ac:dyDescent="0.25">
      <c r="B19" s="502"/>
      <c r="C19" s="310"/>
      <c r="D19" s="310"/>
      <c r="E19" s="328"/>
      <c r="F19" s="114"/>
      <c r="G19" s="335"/>
      <c r="H19" s="114"/>
      <c r="I19" s="335"/>
      <c r="J19" s="114"/>
      <c r="K19" s="335"/>
      <c r="L19" s="114"/>
      <c r="M19" s="335"/>
      <c r="N19" s="114"/>
      <c r="O19" s="335"/>
      <c r="P19" s="114"/>
      <c r="Q19" s="321"/>
    </row>
    <row r="20" spans="2:37" ht="12" customHeight="1" thickTop="1" thickBot="1" x14ac:dyDescent="0.25">
      <c r="B20" s="502"/>
      <c r="C20" s="426" t="s">
        <v>393</v>
      </c>
      <c r="D20" s="426"/>
      <c r="E20" s="310"/>
      <c r="F20" s="332" t="str">
        <f>IF('Avaliação Física 1'!$F$79="","-",'Avaliação Física 1'!$F$79)</f>
        <v>-</v>
      </c>
      <c r="G20" s="314"/>
      <c r="H20" s="332" t="str">
        <f>IF('Avaliação Física 2'!$F$79="","-",'Avaliação Física 2'!$F$79)</f>
        <v>-</v>
      </c>
      <c r="I20" s="314"/>
      <c r="J20" s="332" t="str">
        <f>IF('Avaliação Física 3'!$F$79="","-",'Avaliação Física 3'!$F$79)</f>
        <v>-</v>
      </c>
      <c r="K20" s="314"/>
      <c r="L20" s="332" t="str">
        <f>IF('Avaliação Física 4'!$F$79="","-",'Avaliação Física 4'!$F$79)</f>
        <v>-</v>
      </c>
      <c r="M20" s="314"/>
      <c r="N20" s="332" t="str">
        <f>IF('Avaliação Física 5'!$F$79="","-",'Avaliação Física 5'!$F$79)</f>
        <v>-</v>
      </c>
      <c r="O20" s="314"/>
      <c r="P20" s="332" t="str">
        <f>IF('Avaliação Física 5'!$F$79="","-",'Avaliação Física 5'!$F$79)</f>
        <v>-</v>
      </c>
      <c r="S20" s="324"/>
      <c r="T20" s="324"/>
      <c r="U20" s="324"/>
      <c r="V20" s="324"/>
      <c r="W20" s="324"/>
      <c r="X20" s="324"/>
      <c r="Y20" s="324"/>
      <c r="Z20" s="324"/>
      <c r="AA20" s="324"/>
      <c r="AB20" s="324"/>
      <c r="AC20" s="324"/>
      <c r="AD20" s="324"/>
      <c r="AE20" s="324"/>
      <c r="AF20" s="324"/>
      <c r="AG20" s="324"/>
      <c r="AH20" s="324"/>
      <c r="AI20" s="324"/>
      <c r="AJ20" s="324"/>
      <c r="AK20" s="324"/>
    </row>
    <row r="21" spans="2:37" customFormat="1" ht="6" customHeight="1" thickTop="1" thickBot="1" x14ac:dyDescent="0.25">
      <c r="B21" s="502"/>
      <c r="C21" s="310"/>
      <c r="D21" s="310"/>
      <c r="E21" s="328"/>
      <c r="F21" s="114"/>
      <c r="G21" s="335"/>
      <c r="H21" s="114"/>
      <c r="I21" s="335"/>
      <c r="J21" s="114"/>
      <c r="K21" s="335"/>
      <c r="L21" s="114"/>
      <c r="M21" s="335"/>
      <c r="N21" s="114"/>
      <c r="O21" s="335"/>
      <c r="P21" s="114"/>
      <c r="Q21" s="321"/>
    </row>
    <row r="22" spans="2:37" ht="12" customHeight="1" thickTop="1" thickBot="1" x14ac:dyDescent="0.25">
      <c r="B22" s="502"/>
      <c r="C22" s="426" t="s">
        <v>20</v>
      </c>
      <c r="D22" s="426"/>
      <c r="E22" s="310"/>
      <c r="F22" s="332" t="str">
        <f>IF('Avaliação Física 1'!$J$77="","-",'Avaliação Física 1'!$J$77)</f>
        <v>-</v>
      </c>
      <c r="G22" s="314"/>
      <c r="H22" s="332" t="str">
        <f>IF('Avaliação Física 2'!$J$77="","-",'Avaliação Física 2'!$J$77)</f>
        <v>-</v>
      </c>
      <c r="I22" s="314"/>
      <c r="J22" s="332" t="str">
        <f>IF('Avaliação Física 3'!$J$77="","-",'Avaliação Física 3'!$J$77)</f>
        <v>-</v>
      </c>
      <c r="K22" s="314"/>
      <c r="L22" s="332" t="str">
        <f>IF('Avaliação Física 4'!$J$77="","-",'Avaliação Física 4'!$J$77)</f>
        <v>-</v>
      </c>
      <c r="M22" s="314"/>
      <c r="N22" s="332" t="str">
        <f>IF('Avaliação Física 5'!$J$77="","-",'Avaliação Física 5'!$J$77)</f>
        <v>-</v>
      </c>
      <c r="O22" s="314"/>
      <c r="P22" s="332" t="str">
        <f>IF('Avaliação Física 6'!$J$77="","-",'Avaliação Física 6'!$J$77)</f>
        <v>-</v>
      </c>
      <c r="S22" s="324"/>
      <c r="T22" s="324"/>
      <c r="U22" s="324"/>
      <c r="V22" s="324"/>
      <c r="W22" s="324"/>
      <c r="X22" s="324"/>
      <c r="Y22" s="324"/>
      <c r="Z22" s="324"/>
      <c r="AA22" s="324"/>
      <c r="AB22" s="324"/>
      <c r="AC22" s="324"/>
      <c r="AD22" s="324"/>
      <c r="AE22" s="324"/>
      <c r="AF22" s="324"/>
      <c r="AG22" s="324"/>
      <c r="AH22" s="324"/>
      <c r="AI22" s="324"/>
      <c r="AJ22" s="324"/>
      <c r="AK22" s="324"/>
    </row>
    <row r="23" spans="2:37" customFormat="1" ht="6" customHeight="1" thickTop="1" thickBot="1" x14ac:dyDescent="0.25">
      <c r="B23" s="502"/>
      <c r="C23" s="310"/>
      <c r="D23" s="310"/>
      <c r="E23" s="328"/>
      <c r="F23" s="114"/>
      <c r="G23" s="335"/>
      <c r="H23" s="114"/>
      <c r="I23" s="335"/>
      <c r="J23" s="114"/>
      <c r="K23" s="335"/>
      <c r="L23" s="114"/>
      <c r="M23" s="335"/>
      <c r="N23" s="114"/>
      <c r="O23" s="335"/>
      <c r="P23" s="114"/>
      <c r="Q23" s="321"/>
    </row>
    <row r="24" spans="2:37" ht="12" customHeight="1" thickTop="1" thickBot="1" x14ac:dyDescent="0.25">
      <c r="B24" s="502"/>
      <c r="C24" s="426" t="s">
        <v>21</v>
      </c>
      <c r="D24" s="426"/>
      <c r="E24" s="310"/>
      <c r="F24" s="332" t="str">
        <f>IF('Avaliação Física 1'!$J$78="","-",'Avaliação Física 1'!$J$78)</f>
        <v>-</v>
      </c>
      <c r="G24" s="314"/>
      <c r="H24" s="332" t="str">
        <f>IF('Avaliação Física 2'!$J$78="","-",'Avaliação Física 2'!$J$78)</f>
        <v>-</v>
      </c>
      <c r="I24" s="314"/>
      <c r="J24" s="332" t="str">
        <f>IF('Avaliação Física 3'!$J$78="","-",'Avaliação Física 3'!$J$78)</f>
        <v>-</v>
      </c>
      <c r="K24" s="314"/>
      <c r="L24" s="332" t="str">
        <f>IF('Avaliação Física 4'!$J$78="","-",'Avaliação Física 4'!$J$78)</f>
        <v>-</v>
      </c>
      <c r="M24" s="314"/>
      <c r="N24" s="332" t="str">
        <f>IF('Avaliação Física 5'!$J$78="","-",'Avaliação Física 5'!$J$78)</f>
        <v>-</v>
      </c>
      <c r="O24" s="314"/>
      <c r="P24" s="332" t="str">
        <f>IF('Avaliação Física 6'!$J$78="","-",'Avaliação Física 6'!$J$78)</f>
        <v>-</v>
      </c>
      <c r="S24" s="324"/>
      <c r="T24" s="324"/>
      <c r="U24" s="324"/>
      <c r="V24" s="324"/>
      <c r="W24" s="324"/>
      <c r="X24" s="324"/>
      <c r="Y24" s="324"/>
      <c r="Z24" s="324"/>
      <c r="AA24" s="324"/>
      <c r="AB24" s="324"/>
      <c r="AC24" s="324"/>
      <c r="AD24" s="324"/>
      <c r="AE24" s="324"/>
      <c r="AF24" s="324"/>
      <c r="AG24" s="324"/>
      <c r="AH24" s="324"/>
      <c r="AI24" s="324"/>
      <c r="AJ24" s="324"/>
      <c r="AK24" s="324"/>
    </row>
    <row r="25" spans="2:37" customFormat="1" ht="6" customHeight="1" thickTop="1" thickBot="1" x14ac:dyDescent="0.25">
      <c r="B25" s="502"/>
      <c r="C25" s="310"/>
      <c r="D25" s="310"/>
      <c r="E25" s="328"/>
      <c r="F25" s="114"/>
      <c r="G25" s="335"/>
      <c r="H25" s="114"/>
      <c r="I25" s="335"/>
      <c r="J25" s="114"/>
      <c r="K25" s="335"/>
      <c r="L25" s="114"/>
      <c r="M25" s="335"/>
      <c r="N25" s="114"/>
      <c r="O25" s="335"/>
      <c r="P25" s="114"/>
      <c r="Q25" s="321"/>
    </row>
    <row r="26" spans="2:37" ht="12" customHeight="1" thickTop="1" thickBot="1" x14ac:dyDescent="0.25">
      <c r="B26" s="502"/>
      <c r="C26" s="426" t="s">
        <v>43</v>
      </c>
      <c r="D26" s="426"/>
      <c r="E26" s="310"/>
      <c r="F26" s="332" t="str">
        <f>IF('Avaliação Física 1'!$J$79="","-",'Avaliação Física 1'!$J$79)</f>
        <v>-</v>
      </c>
      <c r="G26" s="314"/>
      <c r="H26" s="332" t="str">
        <f>IF('Avaliação Física 2'!$J$79="","-",'Avaliação Física 2'!$J$79)</f>
        <v>-</v>
      </c>
      <c r="I26" s="314"/>
      <c r="J26" s="332" t="str">
        <f>IF('Avaliação Física 3'!$J$79="","-",'Avaliação Física 3'!$J$79)</f>
        <v>-</v>
      </c>
      <c r="K26" s="314"/>
      <c r="L26" s="332" t="str">
        <f>IF('Avaliação Física 4'!$J$79="","-",'Avaliação Física 4'!$J$79)</f>
        <v>-</v>
      </c>
      <c r="M26" s="314"/>
      <c r="N26" s="332" t="str">
        <f>IF('Avaliação Física 5'!$J$79="","-",'Avaliação Física 5'!$J$79)</f>
        <v>-</v>
      </c>
      <c r="O26" s="314"/>
      <c r="P26" s="332" t="str">
        <f>IF('Avaliação Física 6'!$J$79="","-",'Avaliação Física 6'!$J$79)</f>
        <v>-</v>
      </c>
      <c r="S26" s="324"/>
      <c r="T26" s="324"/>
      <c r="U26" s="324"/>
      <c r="V26" s="324"/>
      <c r="W26" s="324"/>
      <c r="X26" s="324"/>
      <c r="Y26" s="324"/>
      <c r="Z26" s="324"/>
      <c r="AA26" s="324"/>
      <c r="AB26" s="324"/>
      <c r="AC26" s="324"/>
      <c r="AD26" s="324"/>
      <c r="AE26" s="324"/>
      <c r="AF26" s="324"/>
      <c r="AG26" s="324"/>
      <c r="AH26" s="324"/>
      <c r="AI26" s="324"/>
      <c r="AJ26" s="324"/>
      <c r="AK26" s="324"/>
    </row>
    <row r="27" spans="2:37" customFormat="1" ht="6" customHeight="1" thickTop="1" thickBot="1" x14ac:dyDescent="0.25">
      <c r="B27" s="502"/>
      <c r="C27" s="310"/>
      <c r="D27" s="310"/>
      <c r="E27" s="328"/>
      <c r="F27" s="114"/>
      <c r="G27" s="335"/>
      <c r="H27" s="114"/>
      <c r="I27" s="335"/>
      <c r="J27" s="114"/>
      <c r="K27" s="335"/>
      <c r="L27" s="114"/>
      <c r="M27" s="335"/>
      <c r="N27" s="114"/>
      <c r="O27" s="335"/>
      <c r="P27" s="114"/>
      <c r="Q27" s="321"/>
    </row>
    <row r="28" spans="2:37" ht="12" customHeight="1" thickTop="1" thickBot="1" x14ac:dyDescent="0.25">
      <c r="B28" s="502"/>
      <c r="C28" s="426" t="s">
        <v>22</v>
      </c>
      <c r="D28" s="426"/>
      <c r="E28" s="310"/>
      <c r="F28" s="332" t="str">
        <f>IF('Avaliação Física 1'!$N$77="","-",'Avaliação Física 1'!$N$77)</f>
        <v>-</v>
      </c>
      <c r="G28" s="314"/>
      <c r="H28" s="332" t="str">
        <f>IF('Avaliação Física 2'!$N$77="","-",'Avaliação Física 2'!$N$77)</f>
        <v>-</v>
      </c>
      <c r="I28" s="314"/>
      <c r="J28" s="332" t="str">
        <f>IF('Avaliação Física 3'!$N$77="","-",'Avaliação Física 3'!$N$77)</f>
        <v>-</v>
      </c>
      <c r="K28" s="314"/>
      <c r="L28" s="332" t="str">
        <f>IF('Avaliação Física 4'!$N$77="","-",'Avaliação Física 4'!$N$77)</f>
        <v>-</v>
      </c>
      <c r="M28" s="314"/>
      <c r="N28" s="332" t="str">
        <f>IF('Avaliação Física 5'!$N$77="","-",'Avaliação Física 5'!$N$77)</f>
        <v>-</v>
      </c>
      <c r="O28" s="314"/>
      <c r="P28" s="332" t="str">
        <f>IF('Avaliação Física 6'!$N$77="","-",'Avaliação Física 6'!$N$77)</f>
        <v>-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</row>
    <row r="29" spans="2:37" customFormat="1" ht="6" customHeight="1" thickTop="1" thickBot="1" x14ac:dyDescent="0.25">
      <c r="B29" s="502"/>
      <c r="C29" s="310"/>
      <c r="D29" s="310"/>
      <c r="E29" s="328"/>
      <c r="F29" s="114"/>
      <c r="G29" s="335"/>
      <c r="H29" s="114"/>
      <c r="I29" s="335"/>
      <c r="J29" s="114"/>
      <c r="K29" s="335"/>
      <c r="L29" s="114"/>
      <c r="M29" s="335"/>
      <c r="N29" s="114"/>
      <c r="O29" s="335"/>
      <c r="P29" s="114"/>
      <c r="Q29" s="321"/>
    </row>
    <row r="30" spans="2:37" ht="12" customHeight="1" thickTop="1" thickBot="1" x14ac:dyDescent="0.25">
      <c r="B30" s="502"/>
      <c r="C30" s="426" t="s">
        <v>23</v>
      </c>
      <c r="D30" s="426"/>
      <c r="E30" s="310"/>
      <c r="F30" s="332" t="str">
        <f>IF('Avaliação Física 1'!$N$78="","-",'Avaliação Física 1'!$N$78)</f>
        <v>-</v>
      </c>
      <c r="G30" s="314"/>
      <c r="H30" s="332" t="str">
        <f>IF('Avaliação Física 2'!$N$78="","-",'Avaliação Física 2'!$N$78)</f>
        <v>-</v>
      </c>
      <c r="I30" s="314"/>
      <c r="J30" s="332" t="str">
        <f>IF('Avaliação Física 3'!$N$78="","-",'Avaliação Física 3'!$N$78)</f>
        <v>-</v>
      </c>
      <c r="K30" s="314"/>
      <c r="L30" s="332" t="str">
        <f>IF('Avaliação Física 4'!$N$78="","-",'Avaliação Física 4'!$N$78)</f>
        <v>-</v>
      </c>
      <c r="M30" s="314"/>
      <c r="N30" s="332" t="str">
        <f>IF('Avaliação Física 5'!$N$78="","-",'Avaliação Física 5'!$N$78)</f>
        <v>-</v>
      </c>
      <c r="O30" s="314"/>
      <c r="P30" s="332" t="str">
        <f>IF('Avaliação Física 6'!$N$78="","-",'Avaliação Física 6'!$N$78)</f>
        <v>-</v>
      </c>
      <c r="S30" s="324"/>
      <c r="T30" s="324"/>
      <c r="U30" s="324"/>
      <c r="V30" s="324"/>
      <c r="W30" s="324"/>
      <c r="X30" s="324"/>
      <c r="Y30" s="324"/>
      <c r="Z30" s="324"/>
      <c r="AA30" s="324"/>
      <c r="AB30" s="324"/>
      <c r="AC30" s="324"/>
      <c r="AD30" s="324"/>
      <c r="AE30" s="324"/>
      <c r="AF30" s="324"/>
      <c r="AG30" s="324"/>
      <c r="AH30" s="324"/>
      <c r="AI30" s="324"/>
      <c r="AJ30" s="324"/>
      <c r="AK30" s="324"/>
    </row>
    <row r="31" spans="2:37" customFormat="1" ht="6" customHeight="1" thickTop="1" thickBot="1" x14ac:dyDescent="0.25">
      <c r="B31" s="340"/>
      <c r="C31" s="310"/>
      <c r="D31" s="310"/>
      <c r="E31" s="328"/>
      <c r="F31" s="114"/>
      <c r="G31" s="335"/>
      <c r="H31" s="114"/>
      <c r="I31" s="335"/>
      <c r="J31" s="114"/>
      <c r="K31" s="335"/>
      <c r="L31" s="114"/>
      <c r="M31" s="335"/>
      <c r="N31" s="114"/>
      <c r="O31" s="335"/>
      <c r="P31" s="114"/>
      <c r="Q31" s="321"/>
    </row>
    <row r="32" spans="2:37" ht="12" customHeight="1" thickTop="1" thickBot="1" x14ac:dyDescent="0.25">
      <c r="B32"/>
      <c r="C32" s="426" t="s">
        <v>56</v>
      </c>
      <c r="D32" s="426"/>
      <c r="F32" s="332" t="str">
        <f>IF('Avaliação Física 1'!$N$79="","-",'Avaliação Física 1'!$N$79)</f>
        <v>-</v>
      </c>
      <c r="G32" s="314"/>
      <c r="H32" s="332" t="str">
        <f>IF('Avaliação Física 2'!$N$79="","-",'Avaliação Física 2'!$N$79)</f>
        <v>-</v>
      </c>
      <c r="I32" s="314"/>
      <c r="J32" s="332" t="str">
        <f>IF('Avaliação Física 3'!$N$79="","-",'Avaliação Física 3'!$N$79)</f>
        <v>-</v>
      </c>
      <c r="K32" s="314"/>
      <c r="L32" s="332" t="str">
        <f>IF('Avaliação Física 4'!$N$79="","-",'Avaliação Física 4'!$N$79)</f>
        <v>-</v>
      </c>
      <c r="M32" s="314"/>
      <c r="N32" s="332" t="str">
        <f>IF('Avaliação Física 5'!$N$79="","-",'Avaliação Física 5'!$N$79)</f>
        <v>-</v>
      </c>
      <c r="O32" s="314"/>
      <c r="P32" s="332" t="str">
        <f>IF('Avaliação Física 6'!$N$79="","-",'Avaliação Física 6'!$N$79)</f>
        <v>-</v>
      </c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</row>
    <row r="33" spans="2:37" customFormat="1" ht="15" customHeight="1" thickTop="1" thickBot="1" x14ac:dyDescent="0.25">
      <c r="B33" s="503" t="s">
        <v>25</v>
      </c>
      <c r="D33" s="6"/>
      <c r="E33" s="338"/>
      <c r="F33" s="323"/>
      <c r="G33" s="341"/>
      <c r="H33" s="323"/>
      <c r="I33" s="341"/>
      <c r="J33" s="323"/>
      <c r="K33" s="341"/>
      <c r="L33" s="323"/>
      <c r="M33" s="341"/>
      <c r="N33" s="323"/>
      <c r="O33" s="341"/>
      <c r="P33" s="323"/>
      <c r="Q33" s="321"/>
    </row>
    <row r="34" spans="2:37" customFormat="1" ht="15" customHeight="1" thickTop="1" thickBot="1" x14ac:dyDescent="0.25">
      <c r="B34" s="503"/>
      <c r="D34" s="6"/>
      <c r="E34" s="338"/>
      <c r="F34" s="323"/>
      <c r="G34" s="341"/>
      <c r="H34" s="323"/>
      <c r="I34" s="341"/>
      <c r="J34" s="323"/>
      <c r="K34" s="341"/>
      <c r="L34" s="323"/>
      <c r="M34" s="341"/>
      <c r="N34" s="323"/>
      <c r="O34" s="341"/>
      <c r="P34" s="323"/>
      <c r="Q34" s="321"/>
    </row>
    <row r="35" spans="2:37" ht="12" customHeight="1" thickTop="1" thickBot="1" x14ac:dyDescent="0.25">
      <c r="B35" s="503"/>
      <c r="C35" s="426" t="s">
        <v>120</v>
      </c>
      <c r="D35" s="426"/>
      <c r="E35" s="310"/>
      <c r="F35" s="332" t="str">
        <f>'Avaliação Física 1'!$F$98</f>
        <v>-</v>
      </c>
      <c r="G35" s="314"/>
      <c r="H35" s="332" t="str">
        <f>'Avaliação Física 2'!$F$98</f>
        <v>-</v>
      </c>
      <c r="I35" s="342"/>
      <c r="J35" s="332" t="str">
        <f>'Avaliação Física 3'!$F$98</f>
        <v>-</v>
      </c>
      <c r="K35" s="342"/>
      <c r="L35" s="332" t="str">
        <f>'Avaliação Física 4'!$F$98</f>
        <v>-</v>
      </c>
      <c r="M35" s="314"/>
      <c r="N35" s="332" t="str">
        <f>'Avaliação Física 5'!$F$98</f>
        <v>-</v>
      </c>
      <c r="O35" s="314"/>
      <c r="P35" s="332" t="str">
        <f>'Avaliação Física 6'!$F$98</f>
        <v>-</v>
      </c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</row>
    <row r="36" spans="2:37" customFormat="1" ht="6" customHeight="1" thickTop="1" thickBot="1" x14ac:dyDescent="0.25">
      <c r="B36" s="503"/>
      <c r="C36" s="310"/>
      <c r="D36" s="310"/>
      <c r="E36" s="328"/>
      <c r="F36" s="114"/>
      <c r="G36" s="335"/>
      <c r="H36" s="114"/>
      <c r="I36" s="343"/>
      <c r="J36" s="114"/>
      <c r="K36" s="343"/>
      <c r="L36" s="114"/>
      <c r="M36" s="335"/>
      <c r="N36" s="114"/>
      <c r="O36" s="335"/>
      <c r="P36" s="114"/>
      <c r="Q36" s="321"/>
    </row>
    <row r="37" spans="2:37" ht="12" customHeight="1" thickTop="1" thickBot="1" x14ac:dyDescent="0.25">
      <c r="B37" s="503"/>
      <c r="C37" s="426" t="s">
        <v>361</v>
      </c>
      <c r="D37" s="426"/>
      <c r="E37" s="310"/>
      <c r="F37" s="332" t="str">
        <f>'Avaliação Física 1'!$F$99</f>
        <v>-</v>
      </c>
      <c r="G37" s="314"/>
      <c r="H37" s="332" t="str">
        <f>'Avaliação Física 2'!$F$99</f>
        <v>-</v>
      </c>
      <c r="I37" s="314"/>
      <c r="J37" s="332" t="str">
        <f>'Avaliação Física 3'!$F$99</f>
        <v>-</v>
      </c>
      <c r="K37" s="314"/>
      <c r="L37" s="332" t="str">
        <f>'Avaliação Física 4'!$F$99</f>
        <v>-</v>
      </c>
      <c r="M37" s="314"/>
      <c r="N37" s="332" t="str">
        <f>'Avaliação Física 5'!$F$99</f>
        <v>-</v>
      </c>
      <c r="O37" s="314"/>
      <c r="P37" s="332" t="str">
        <f>'Avaliação Física 6'!$F$99</f>
        <v>-</v>
      </c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</row>
    <row r="38" spans="2:37" customFormat="1" ht="6" customHeight="1" thickTop="1" thickBot="1" x14ac:dyDescent="0.25">
      <c r="B38" s="503"/>
      <c r="C38" s="310"/>
      <c r="D38" s="310"/>
      <c r="E38" s="328"/>
      <c r="F38" s="114"/>
      <c r="G38" s="335"/>
      <c r="H38" s="114"/>
      <c r="I38" s="335"/>
      <c r="J38" s="114"/>
      <c r="K38" s="335"/>
      <c r="L38" s="114"/>
      <c r="M38" s="335"/>
      <c r="N38" s="114"/>
      <c r="O38" s="335"/>
      <c r="P38" s="114"/>
      <c r="Q38" s="321"/>
    </row>
    <row r="39" spans="2:37" ht="12" customHeight="1" thickTop="1" thickBot="1" x14ac:dyDescent="0.25">
      <c r="B39" s="503"/>
      <c r="C39" s="426" t="s">
        <v>362</v>
      </c>
      <c r="D39" s="426"/>
      <c r="E39" s="310"/>
      <c r="F39" s="332" t="str">
        <f>'Avaliação Física 1'!$F$100</f>
        <v>-</v>
      </c>
      <c r="G39" s="314"/>
      <c r="H39" s="332" t="str">
        <f>'Avaliação Física 2'!$F$100</f>
        <v>-</v>
      </c>
      <c r="I39" s="314"/>
      <c r="J39" s="332" t="str">
        <f>'Avaliação Física 3'!$F$100</f>
        <v>-</v>
      </c>
      <c r="K39" s="314"/>
      <c r="L39" s="332" t="str">
        <f>'Avaliação Física 4'!$F$100</f>
        <v>-</v>
      </c>
      <c r="M39" s="314"/>
      <c r="N39" s="332" t="str">
        <f>'Avaliação Física 5'!$F$100</f>
        <v>-</v>
      </c>
      <c r="O39" s="314"/>
      <c r="P39" s="332" t="str">
        <f>'Avaliação Física 6'!$F$100</f>
        <v>-</v>
      </c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</row>
    <row r="40" spans="2:37" customFormat="1" ht="6" customHeight="1" thickTop="1" thickBot="1" x14ac:dyDescent="0.25">
      <c r="B40" s="503"/>
      <c r="C40" s="310"/>
      <c r="D40" s="310"/>
      <c r="E40" s="328"/>
      <c r="F40" s="114"/>
      <c r="G40" s="335"/>
      <c r="H40" s="114"/>
      <c r="I40" s="335"/>
      <c r="J40" s="114"/>
      <c r="K40" s="335"/>
      <c r="L40" s="114"/>
      <c r="M40" s="335"/>
      <c r="N40" s="114"/>
      <c r="O40" s="335"/>
      <c r="P40" s="114"/>
      <c r="Q40" s="321"/>
    </row>
    <row r="41" spans="2:37" ht="12" customHeight="1" thickTop="1" thickBot="1" x14ac:dyDescent="0.25">
      <c r="B41" s="503"/>
      <c r="C41" s="504" t="s">
        <v>363</v>
      </c>
      <c r="D41" s="504"/>
      <c r="F41" s="332" t="str">
        <f>'Avaliação Física 1'!$F$101</f>
        <v>-</v>
      </c>
      <c r="G41" s="314"/>
      <c r="H41" s="332" t="str">
        <f>'Avaliação Física 2'!$F$101</f>
        <v>-</v>
      </c>
      <c r="I41" s="314"/>
      <c r="J41" s="332" t="str">
        <f>'Avaliação Física 3'!$F$101</f>
        <v>-</v>
      </c>
      <c r="K41" s="314"/>
      <c r="L41" s="332" t="str">
        <f>'Avaliação Física 4'!$F$101</f>
        <v>-</v>
      </c>
      <c r="M41" s="314"/>
      <c r="N41" s="332" t="str">
        <f>'Avaliação Física 5'!$F$101</f>
        <v>-</v>
      </c>
      <c r="O41" s="314"/>
      <c r="P41" s="332" t="str">
        <f>'Avaliação Física 6'!$F$101</f>
        <v>-</v>
      </c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</row>
    <row r="42" spans="2:37" customFormat="1" ht="6" customHeight="1" thickTop="1" thickBot="1" x14ac:dyDescent="0.25">
      <c r="D42" s="6"/>
      <c r="E42" s="338"/>
      <c r="F42" s="114"/>
      <c r="G42" s="335"/>
      <c r="H42" s="114"/>
      <c r="I42" s="335"/>
      <c r="J42" s="114"/>
      <c r="K42" s="335"/>
      <c r="L42" s="114"/>
      <c r="M42" s="335"/>
      <c r="N42" s="114"/>
      <c r="O42" s="335"/>
      <c r="P42" s="114"/>
      <c r="Q42" s="321"/>
    </row>
    <row r="43" spans="2:37" ht="12" customHeight="1" thickTop="1" thickBot="1" x14ac:dyDescent="0.25">
      <c r="B43"/>
      <c r="C43" s="426" t="s">
        <v>364</v>
      </c>
      <c r="D43" s="426"/>
      <c r="E43" s="6"/>
      <c r="F43" s="332" t="str">
        <f>'Avaliação Física 1'!$J$98</f>
        <v>-</v>
      </c>
      <c r="G43" s="314"/>
      <c r="H43" s="332" t="str">
        <f>'Avaliação Física 2'!$J$98</f>
        <v>-</v>
      </c>
      <c r="I43" s="314"/>
      <c r="J43" s="332" t="str">
        <f>'Avaliação Física 3'!$J$98</f>
        <v>-</v>
      </c>
      <c r="K43" s="314"/>
      <c r="L43" s="332" t="str">
        <f>'Avaliação Física 4'!$J$98</f>
        <v>-</v>
      </c>
      <c r="M43" s="314"/>
      <c r="N43" s="332" t="str">
        <f>'Avaliação Física 5'!$J$98</f>
        <v>-</v>
      </c>
      <c r="O43" s="314"/>
      <c r="P43" s="332" t="str">
        <f>'Avaliação Física 6'!$J$98</f>
        <v>-</v>
      </c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</row>
    <row r="44" spans="2:37" customFormat="1" ht="6" customHeight="1" thickTop="1" thickBot="1" x14ac:dyDescent="0.25">
      <c r="D44" s="6"/>
      <c r="E44" s="338"/>
      <c r="F44" s="114"/>
      <c r="G44" s="335"/>
      <c r="H44" s="114"/>
      <c r="I44" s="335"/>
      <c r="J44" s="114"/>
      <c r="K44" s="335"/>
      <c r="L44" s="114"/>
      <c r="M44" s="335"/>
      <c r="N44" s="114"/>
      <c r="O44" s="335"/>
      <c r="P44" s="114"/>
      <c r="Q44" s="321"/>
    </row>
    <row r="45" spans="2:37" ht="12" customHeight="1" thickTop="1" thickBot="1" x14ac:dyDescent="0.25">
      <c r="B45"/>
      <c r="C45" s="426" t="s">
        <v>394</v>
      </c>
      <c r="D45" s="426"/>
      <c r="E45" s="6"/>
      <c r="F45" s="332" t="str">
        <f>'Avaliação Física 1'!$J$99</f>
        <v>-</v>
      </c>
      <c r="G45" s="314"/>
      <c r="H45" s="332" t="str">
        <f>'Avaliação Física 2'!$J$99</f>
        <v>-</v>
      </c>
      <c r="I45" s="314"/>
      <c r="J45" s="332" t="str">
        <f>'Avaliação Física 3'!$J$99</f>
        <v>-</v>
      </c>
      <c r="K45" s="314"/>
      <c r="L45" s="332" t="str">
        <f>'Avaliação Física 4'!$J$99</f>
        <v>-</v>
      </c>
      <c r="M45" s="314"/>
      <c r="N45" s="332" t="str">
        <f>'Avaliação Física 5'!$J$99</f>
        <v>-</v>
      </c>
      <c r="O45" s="314"/>
      <c r="P45" s="332" t="str">
        <f>'Avaliação Física 6'!$J$99</f>
        <v>-</v>
      </c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</row>
    <row r="46" spans="2:37" customFormat="1" ht="6" customHeight="1" thickTop="1" thickBot="1" x14ac:dyDescent="0.25">
      <c r="C46" s="310"/>
      <c r="D46" s="310"/>
      <c r="E46" s="338"/>
      <c r="F46" s="114"/>
      <c r="G46" s="335"/>
      <c r="H46" s="114"/>
      <c r="I46" s="335"/>
      <c r="J46" s="114"/>
      <c r="K46" s="335"/>
      <c r="L46" s="114"/>
      <c r="M46" s="335"/>
      <c r="N46" s="114"/>
      <c r="O46" s="335"/>
      <c r="P46" s="114"/>
      <c r="Q46" s="321"/>
    </row>
    <row r="47" spans="2:37" ht="12" customHeight="1" thickTop="1" thickBot="1" x14ac:dyDescent="0.25">
      <c r="B47"/>
      <c r="C47" s="426" t="s">
        <v>26</v>
      </c>
      <c r="D47" s="426"/>
      <c r="E47" s="310"/>
      <c r="F47" s="332" t="str">
        <f>'Avaliação Física 1'!$J$101</f>
        <v>-</v>
      </c>
      <c r="G47" s="314"/>
      <c r="H47" s="332" t="str">
        <f>'Avaliação Física 2'!$J$101</f>
        <v>-</v>
      </c>
      <c r="I47" s="314"/>
      <c r="J47" s="332" t="str">
        <f>'Avaliação Física 3'!$J$101</f>
        <v>-</v>
      </c>
      <c r="K47" s="314"/>
      <c r="L47" s="332" t="str">
        <f>'Avaliação Física 4'!$J$101</f>
        <v>-</v>
      </c>
      <c r="M47" s="314"/>
      <c r="N47" s="332" t="str">
        <f>'Avaliação Física 5'!$J$101</f>
        <v>-</v>
      </c>
      <c r="O47" s="314"/>
      <c r="P47" s="332" t="str">
        <f>'Avaliação Física 6'!$J$101</f>
        <v>-</v>
      </c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</row>
    <row r="48" spans="2:37" customFormat="1" ht="14.45" customHeight="1" thickTop="1" thickBot="1" x14ac:dyDescent="0.25">
      <c r="D48" s="6"/>
      <c r="E48" s="338"/>
      <c r="F48" s="114"/>
      <c r="G48" s="335"/>
      <c r="H48" s="114"/>
      <c r="I48" s="335"/>
      <c r="J48" s="114"/>
      <c r="K48" s="335"/>
      <c r="L48" s="114"/>
      <c r="M48" s="335"/>
      <c r="N48" s="114"/>
      <c r="O48" s="335"/>
      <c r="P48" s="114"/>
      <c r="Q48" s="321"/>
    </row>
    <row r="49" spans="2:37" customFormat="1" ht="14.45" customHeight="1" thickTop="1" thickBot="1" x14ac:dyDescent="0.25">
      <c r="D49" s="6"/>
      <c r="E49" s="6"/>
      <c r="F49" s="323"/>
      <c r="G49" s="331"/>
      <c r="H49" s="323"/>
      <c r="I49" s="331"/>
      <c r="J49" s="323"/>
      <c r="K49" s="331"/>
      <c r="L49" s="323"/>
      <c r="M49" s="331"/>
      <c r="N49" s="323"/>
      <c r="O49" s="331"/>
      <c r="P49" s="323"/>
    </row>
    <row r="50" spans="2:37" customFormat="1" ht="14.45" customHeight="1" thickTop="1" thickBot="1" x14ac:dyDescent="0.25">
      <c r="D50" s="6"/>
      <c r="E50" s="338"/>
      <c r="F50" s="323"/>
      <c r="G50" s="341"/>
      <c r="H50" s="323"/>
      <c r="I50" s="341"/>
      <c r="J50" s="323"/>
      <c r="K50" s="341"/>
      <c r="L50" s="323"/>
      <c r="M50" s="341"/>
      <c r="N50" s="323"/>
      <c r="O50" s="341"/>
      <c r="P50" s="323"/>
      <c r="Q50" s="321"/>
    </row>
    <row r="51" spans="2:37" ht="12" customHeight="1" thickTop="1" thickBot="1" x14ac:dyDescent="0.25">
      <c r="B51" s="502" t="s">
        <v>395</v>
      </c>
      <c r="C51" s="426" t="s">
        <v>50</v>
      </c>
      <c r="D51" s="426"/>
      <c r="E51" s="310"/>
      <c r="F51" s="332" t="str">
        <f>IF('Avaliação Física 1'!$F$84="","-",'Avaliação Física 1'!$F$84)</f>
        <v>-</v>
      </c>
      <c r="G51" s="314"/>
      <c r="H51" s="332" t="str">
        <f>IF('Avaliação Física 2'!$F$84="","-",'Avaliação Física 2'!$F$84)</f>
        <v>-</v>
      </c>
      <c r="I51" s="314"/>
      <c r="J51" s="332" t="str">
        <f>IF('Avaliação Física 3'!$F$84="","-",'Avaliação Física 3'!$F$84)</f>
        <v>-</v>
      </c>
      <c r="K51" s="314"/>
      <c r="L51" s="332" t="str">
        <f>IF('Avaliação Física 4'!$F$84="","-",'Avaliação Física 4'!$F$84)</f>
        <v>-</v>
      </c>
      <c r="M51" s="314"/>
      <c r="N51" s="332" t="str">
        <f>IF('Avaliação Física 5'!$F$84="","-",'Avaliação Física 5'!$F$84)</f>
        <v>-</v>
      </c>
      <c r="O51" s="314"/>
      <c r="P51" s="332" t="str">
        <f>IF('Avaliação Física 6'!$F$84="","-",'Avaliação Física 6'!$F$84)</f>
        <v>-</v>
      </c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</row>
    <row r="52" spans="2:37" customFormat="1" ht="6" customHeight="1" thickTop="1" thickBot="1" x14ac:dyDescent="0.25">
      <c r="B52" s="502"/>
      <c r="C52" s="310"/>
      <c r="D52" s="310"/>
      <c r="E52" s="328"/>
      <c r="F52" s="114"/>
      <c r="G52" s="335"/>
      <c r="H52" s="114"/>
      <c r="I52" s="335"/>
      <c r="J52" s="114"/>
      <c r="K52" s="335"/>
      <c r="L52" s="114"/>
      <c r="M52" s="335"/>
      <c r="N52" s="114"/>
      <c r="O52" s="335"/>
      <c r="P52" s="114"/>
      <c r="Q52" s="321"/>
    </row>
    <row r="53" spans="2:37" ht="12" customHeight="1" thickTop="1" thickBot="1" x14ac:dyDescent="0.25">
      <c r="B53" s="502"/>
      <c r="C53" s="426" t="s">
        <v>396</v>
      </c>
      <c r="D53" s="426"/>
      <c r="E53" s="310"/>
      <c r="F53" s="332" t="str">
        <f>IF('Avaliação Física 1'!$F$85="","-",'Avaliação Física 1'!$F$85)</f>
        <v>-</v>
      </c>
      <c r="G53" s="314"/>
      <c r="H53" s="332" t="str">
        <f>IF('Avaliação Física 2'!$F$85="","-",'Avaliação Física 2'!$F$85)</f>
        <v>-</v>
      </c>
      <c r="I53" s="314"/>
      <c r="J53" s="332" t="str">
        <f>IF('Avaliação Física 3'!$F$85="","-",'Avaliação Física 3'!$F$85)</f>
        <v>-</v>
      </c>
      <c r="K53" s="314"/>
      <c r="L53" s="332" t="str">
        <f>IF('Avaliação Física 4'!$F$85="","-",'Avaliação Física 4'!$F$85)</f>
        <v>-</v>
      </c>
      <c r="M53" s="314"/>
      <c r="N53" s="332" t="str">
        <f>IF('Avaliação Física 5'!$F$85="","-",'Avaliação Física 5'!$F$85)</f>
        <v>-</v>
      </c>
      <c r="O53" s="314"/>
      <c r="P53" s="332" t="str">
        <f>IF('Avaliação Física 6'!$F$85="","-",'Avaliação Física 6'!$F$85)</f>
        <v>-</v>
      </c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</row>
    <row r="54" spans="2:37" customFormat="1" ht="6" customHeight="1" thickTop="1" thickBot="1" x14ac:dyDescent="0.25">
      <c r="B54" s="502"/>
      <c r="C54" s="310"/>
      <c r="D54" s="310"/>
      <c r="E54" s="328"/>
      <c r="F54" s="114"/>
      <c r="G54" s="335"/>
      <c r="H54" s="114"/>
      <c r="I54" s="335"/>
      <c r="J54" s="114"/>
      <c r="K54" s="335"/>
      <c r="L54" s="114"/>
      <c r="M54" s="335"/>
      <c r="N54" s="114"/>
      <c r="O54" s="335"/>
      <c r="P54" s="114"/>
      <c r="Q54" s="321"/>
    </row>
    <row r="55" spans="2:37" ht="12" customHeight="1" thickTop="1" thickBot="1" x14ac:dyDescent="0.25">
      <c r="B55" s="502"/>
      <c r="C55" s="426" t="s">
        <v>59</v>
      </c>
      <c r="D55" s="426"/>
      <c r="E55" s="310"/>
      <c r="F55" s="332" t="str">
        <f>IF('Avaliação Física 1'!$F$86="","-",'Avaliação Física 1'!$F$86)</f>
        <v>-</v>
      </c>
      <c r="G55" s="314"/>
      <c r="H55" s="332" t="str">
        <f>IF('Avaliação Física 2'!$F$86="","-",'Avaliação Física 2'!$F$86)</f>
        <v>-</v>
      </c>
      <c r="I55" s="314"/>
      <c r="J55" s="332" t="str">
        <f>IF('Avaliação Física 3'!$F$86="","-",'Avaliação Física 3'!$F$86)</f>
        <v>-</v>
      </c>
      <c r="K55" s="314"/>
      <c r="L55" s="332" t="str">
        <f>IF('Avaliação Física 4'!$F$86="","-",'Avaliação Física 4'!$F$86)</f>
        <v>-</v>
      </c>
      <c r="M55" s="314"/>
      <c r="N55" s="332" t="str">
        <f>IF('Avaliação Física 5'!$F$86="","-",'Avaliação Física 5'!$F$86)</f>
        <v>-</v>
      </c>
      <c r="O55" s="314"/>
      <c r="P55" s="332" t="str">
        <f>IF('Avaliação Física 6'!$F$86="","-",'Avaliação Física 6'!$F$86)</f>
        <v>-</v>
      </c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</row>
    <row r="56" spans="2:37" customFormat="1" ht="6" customHeight="1" thickTop="1" thickBot="1" x14ac:dyDescent="0.25">
      <c r="B56" s="502"/>
      <c r="C56" s="310"/>
      <c r="D56" s="310"/>
      <c r="E56" s="328"/>
      <c r="F56" s="114"/>
      <c r="G56" s="335"/>
      <c r="H56" s="114"/>
      <c r="I56" s="335"/>
      <c r="J56" s="114"/>
      <c r="K56" s="335"/>
      <c r="L56" s="114"/>
      <c r="M56" s="335"/>
      <c r="N56" s="114"/>
      <c r="O56" s="335"/>
      <c r="P56" s="114"/>
      <c r="Q56" s="321"/>
    </row>
    <row r="57" spans="2:37" ht="12" customHeight="1" thickTop="1" thickBot="1" x14ac:dyDescent="0.25">
      <c r="B57" s="502"/>
      <c r="C57" s="426" t="s">
        <v>229</v>
      </c>
      <c r="D57" s="426"/>
      <c r="E57" s="310"/>
      <c r="F57" s="332" t="str">
        <f>IF('Avaliação Física 1'!$F$87="","-",'Avaliação Física 1'!$F$87)</f>
        <v>-</v>
      </c>
      <c r="G57" s="314"/>
      <c r="H57" s="332" t="str">
        <f>IF('Avaliação Física 2'!$F$87="","-",'Avaliação Física 2'!$F$87)</f>
        <v>-</v>
      </c>
      <c r="I57" s="314"/>
      <c r="J57" s="332" t="str">
        <f>IF('Avaliação Física 3'!$F$87="","-",'Avaliação Física 3'!$F$87)</f>
        <v>-</v>
      </c>
      <c r="K57" s="314"/>
      <c r="L57" s="332" t="str">
        <f>IF('Avaliação Física 4'!$F$87="","-",'Avaliação Física 4'!$F$87)</f>
        <v>-</v>
      </c>
      <c r="M57" s="314"/>
      <c r="N57" s="332" t="str">
        <f>IF('Avaliação Física 5'!$F$87="","-",'Avaliação Física 5'!$F$87)</f>
        <v>-</v>
      </c>
      <c r="O57" s="314"/>
      <c r="P57" s="332" t="str">
        <f>IF('Avaliação Física 6'!$F$87="","-",'Avaliação Física 6'!$F$87)</f>
        <v>-</v>
      </c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</row>
    <row r="58" spans="2:37" customFormat="1" ht="6" customHeight="1" thickTop="1" thickBot="1" x14ac:dyDescent="0.25">
      <c r="B58" s="502"/>
      <c r="C58" s="310"/>
      <c r="D58" s="310"/>
      <c r="E58" s="328"/>
      <c r="F58" s="114"/>
      <c r="G58" s="335"/>
      <c r="H58" s="114"/>
      <c r="I58" s="335"/>
      <c r="J58" s="114"/>
      <c r="K58" s="335"/>
      <c r="L58" s="114"/>
      <c r="M58" s="335"/>
      <c r="N58" s="114"/>
      <c r="O58" s="335"/>
      <c r="P58" s="114"/>
      <c r="Q58" s="321"/>
    </row>
    <row r="59" spans="2:37" ht="12" customHeight="1" thickTop="1" thickBot="1" x14ac:dyDescent="0.25">
      <c r="B59" s="502"/>
      <c r="C59" s="426" t="s">
        <v>52</v>
      </c>
      <c r="D59" s="426"/>
      <c r="E59" s="310"/>
      <c r="F59" s="332" t="str">
        <f>IF('Avaliação Física 1'!$F$88="","-",'Avaliação Física 1'!$F$88)</f>
        <v>-</v>
      </c>
      <c r="G59" s="314"/>
      <c r="H59" s="332" t="str">
        <f>IF('Avaliação Física 2'!$F$88="","-",'Avaliação Física 2'!$F$88)</f>
        <v>-</v>
      </c>
      <c r="I59" s="314"/>
      <c r="J59" s="332" t="str">
        <f>IF('Avaliação Física 3'!$F$88="","-",'Avaliação Física 3'!$F$88)</f>
        <v>-</v>
      </c>
      <c r="K59" s="314"/>
      <c r="L59" s="332" t="str">
        <f>IF('Avaliação Física 4'!$F$88="","-",'Avaliação Física 4'!$F$88)</f>
        <v>-</v>
      </c>
      <c r="M59" s="314"/>
      <c r="N59" s="332" t="str">
        <f>IF('Avaliação Física 5'!$F$88="","-",'Avaliação Física 5'!$F$88)</f>
        <v>-</v>
      </c>
      <c r="O59" s="314"/>
      <c r="P59" s="332" t="str">
        <f>IF('Avaliação Física 6'!$F$88="","-",'Avaliação Física 6'!$F$88)</f>
        <v>-</v>
      </c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324"/>
      <c r="AD59" s="324"/>
      <c r="AE59" s="324"/>
      <c r="AF59" s="324"/>
      <c r="AG59" s="324"/>
      <c r="AH59" s="324"/>
      <c r="AI59" s="324"/>
      <c r="AJ59" s="324"/>
      <c r="AK59" s="324"/>
    </row>
    <row r="60" spans="2:37" customFormat="1" ht="6" customHeight="1" thickTop="1" thickBot="1" x14ac:dyDescent="0.25">
      <c r="B60" s="502"/>
      <c r="C60" s="310"/>
      <c r="D60" s="310"/>
      <c r="E60" s="328"/>
      <c r="F60" s="114"/>
      <c r="G60" s="335"/>
      <c r="H60" s="114"/>
      <c r="I60" s="335"/>
      <c r="J60" s="114"/>
      <c r="K60" s="335"/>
      <c r="L60" s="114"/>
      <c r="M60" s="335"/>
      <c r="N60" s="114"/>
      <c r="O60" s="335"/>
      <c r="P60" s="114"/>
      <c r="Q60" s="321"/>
    </row>
    <row r="61" spans="2:37" ht="12" customHeight="1" thickTop="1" thickBot="1" x14ac:dyDescent="0.25">
      <c r="B61" s="502"/>
      <c r="C61" s="426" t="s">
        <v>397</v>
      </c>
      <c r="D61" s="426"/>
      <c r="E61" s="310"/>
      <c r="F61" s="332" t="str">
        <f>IF('Avaliação Física 1'!$J$84="","-",'Avaliação Física 1'!$J$84)</f>
        <v>-</v>
      </c>
      <c r="G61" s="314"/>
      <c r="H61" s="332" t="str">
        <f>IF('Avaliação Física 2'!$J$84="","-",'Avaliação Física 2'!$J$84)</f>
        <v>-</v>
      </c>
      <c r="I61" s="314"/>
      <c r="J61" s="332" t="str">
        <f>IF('Avaliação Física 3'!$J$84="","-",'Avaliação Física 3'!$J$84)</f>
        <v>-</v>
      </c>
      <c r="K61" s="314"/>
      <c r="L61" s="332" t="str">
        <f>IF('Avaliação Física 4'!$J$84="","-",'Avaliação Física 4'!$J$84)</f>
        <v>-</v>
      </c>
      <c r="M61" s="314"/>
      <c r="N61" s="332" t="str">
        <f>IF('Avaliação Física 5'!$J$84="","-",'Avaliação Física 5'!$J$84)</f>
        <v>-</v>
      </c>
      <c r="O61" s="314"/>
      <c r="P61" s="332" t="str">
        <f>IF('Avaliação Física 6'!$J$84="","-",'Avaliação Física 6'!$J$84)</f>
        <v>-</v>
      </c>
      <c r="S61" s="324"/>
      <c r="T61" s="324"/>
      <c r="U61" s="324"/>
      <c r="V61" s="324"/>
      <c r="W61" s="324"/>
      <c r="X61" s="324"/>
      <c r="Y61" s="324"/>
      <c r="Z61" s="324"/>
      <c r="AA61" s="324"/>
      <c r="AB61" s="324"/>
      <c r="AC61" s="324"/>
      <c r="AD61" s="324"/>
      <c r="AE61" s="324"/>
      <c r="AF61" s="324"/>
      <c r="AG61" s="324"/>
      <c r="AH61" s="324"/>
      <c r="AI61" s="324"/>
      <c r="AJ61" s="324"/>
      <c r="AK61" s="324"/>
    </row>
    <row r="62" spans="2:37" customFormat="1" ht="6" customHeight="1" thickTop="1" thickBot="1" x14ac:dyDescent="0.25">
      <c r="B62" s="502"/>
      <c r="C62" s="310"/>
      <c r="D62" s="310"/>
      <c r="E62" s="328"/>
      <c r="F62" s="114"/>
      <c r="G62" s="335"/>
      <c r="H62" s="114"/>
      <c r="I62" s="335"/>
      <c r="J62" s="114"/>
      <c r="K62" s="335"/>
      <c r="L62" s="114"/>
      <c r="M62" s="335"/>
      <c r="N62" s="114"/>
      <c r="O62" s="335"/>
      <c r="P62" s="114"/>
      <c r="Q62" s="321"/>
    </row>
    <row r="63" spans="2:37" ht="12" customHeight="1" thickTop="1" thickBot="1" x14ac:dyDescent="0.25">
      <c r="B63" s="502"/>
      <c r="C63" s="426" t="s">
        <v>398</v>
      </c>
      <c r="D63" s="426"/>
      <c r="E63" s="310"/>
      <c r="F63" s="332" t="str">
        <f>IF('Avaliação Física 1'!$L$84="","-",'Avaliação Física 1'!$L$84)</f>
        <v>-</v>
      </c>
      <c r="G63" s="314"/>
      <c r="H63" s="332" t="str">
        <f>IF('Avaliação Física 2'!$L$84="","-",'Avaliação Física 2'!$L$84)</f>
        <v>-</v>
      </c>
      <c r="I63" s="314"/>
      <c r="J63" s="332" t="str">
        <f>IF('Avaliação Física 3'!$L$84="","-",'Avaliação Física 3'!$L$84)</f>
        <v>-</v>
      </c>
      <c r="K63" s="314"/>
      <c r="L63" s="332" t="str">
        <f>IF('Avaliação Física 4'!$L$84="","-",'Avaliação Física 4'!$L$84)</f>
        <v>-</v>
      </c>
      <c r="M63" s="314"/>
      <c r="N63" s="332" t="str">
        <f>IF('Avaliação Física 5'!$L$84="","-",'Avaliação Física 5'!$L$84)</f>
        <v>-</v>
      </c>
      <c r="O63" s="314"/>
      <c r="P63" s="332" t="str">
        <f>IF('Avaliação Física 6'!$L$84="","-",'Avaliação Física 6'!$L$84)</f>
        <v>-</v>
      </c>
      <c r="S63" s="324"/>
      <c r="T63" s="324"/>
      <c r="U63" s="324"/>
      <c r="V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</row>
    <row r="64" spans="2:37" customFormat="1" ht="6" customHeight="1" thickTop="1" thickBot="1" x14ac:dyDescent="0.25">
      <c r="B64" s="502"/>
      <c r="C64" s="310"/>
      <c r="D64" s="310"/>
      <c r="E64" s="328"/>
      <c r="F64" s="114"/>
      <c r="G64" s="335"/>
      <c r="H64" s="114"/>
      <c r="I64" s="335"/>
      <c r="J64" s="114"/>
      <c r="K64" s="335"/>
      <c r="L64" s="114"/>
      <c r="M64" s="335"/>
      <c r="N64" s="114"/>
      <c r="O64" s="335"/>
      <c r="P64" s="114"/>
      <c r="Q64" s="321"/>
    </row>
    <row r="65" spans="1:37" ht="12" customHeight="1" thickTop="1" thickBot="1" x14ac:dyDescent="0.25">
      <c r="B65" s="502"/>
      <c r="C65" s="426" t="s">
        <v>399</v>
      </c>
      <c r="D65" s="426"/>
      <c r="E65" s="310"/>
      <c r="F65" s="332" t="str">
        <f>IF('Avaliação Física 1'!$J$85="","-",'Avaliação Física 1'!$J$85)</f>
        <v>-</v>
      </c>
      <c r="G65" s="314"/>
      <c r="H65" s="332" t="str">
        <f>IF('Avaliação Física 2'!$J$85="","-",'Avaliação Física 2'!$J$85)</f>
        <v>-</v>
      </c>
      <c r="I65" s="314"/>
      <c r="J65" s="332" t="str">
        <f>IF('Avaliação Física 3'!$J$85="","-",'Avaliação Física 3'!$J$85)</f>
        <v>-</v>
      </c>
      <c r="K65" s="314"/>
      <c r="L65" s="332" t="str">
        <f>IF('Avaliação Física 4'!$J$85="","-",'Avaliação Física 4'!$J$85)</f>
        <v>-</v>
      </c>
      <c r="M65" s="314"/>
      <c r="N65" s="332" t="str">
        <f>IF('Avaliação Física 5'!$J$85="","-",'Avaliação Física 5'!$J$85)</f>
        <v>-</v>
      </c>
      <c r="O65" s="314"/>
      <c r="P65" s="332" t="str">
        <f>IF('Avaliação Física 6'!$J$85="","-",'Avaliação Física 6'!$J$85)</f>
        <v>-</v>
      </c>
      <c r="S65" s="324"/>
      <c r="T65" s="324"/>
      <c r="U65" s="324"/>
      <c r="V65" s="324"/>
      <c r="W65" s="324"/>
      <c r="X65" s="324"/>
      <c r="Y65" s="324"/>
      <c r="Z65" s="324"/>
      <c r="AA65" s="324"/>
      <c r="AB65" s="324"/>
      <c r="AC65" s="324"/>
      <c r="AD65" s="324"/>
      <c r="AE65" s="324"/>
      <c r="AF65" s="324"/>
      <c r="AG65" s="324"/>
      <c r="AH65" s="324"/>
      <c r="AI65" s="324"/>
      <c r="AJ65" s="324"/>
      <c r="AK65" s="324"/>
    </row>
    <row r="66" spans="1:37" customFormat="1" ht="6" customHeight="1" thickTop="1" thickBot="1" x14ac:dyDescent="0.25">
      <c r="B66" s="502"/>
      <c r="C66" s="310"/>
      <c r="D66" s="310"/>
      <c r="E66" s="328"/>
      <c r="F66" s="114"/>
      <c r="G66" s="335"/>
      <c r="H66" s="114"/>
      <c r="I66" s="335"/>
      <c r="J66" s="114"/>
      <c r="K66" s="335"/>
      <c r="L66" s="114"/>
      <c r="M66" s="335"/>
      <c r="N66" s="114"/>
      <c r="O66" s="335"/>
      <c r="P66" s="114"/>
      <c r="Q66" s="321"/>
    </row>
    <row r="67" spans="1:37" ht="12" customHeight="1" thickTop="1" thickBot="1" x14ac:dyDescent="0.25">
      <c r="B67" s="502"/>
      <c r="C67" s="426" t="s">
        <v>400</v>
      </c>
      <c r="D67" s="426"/>
      <c r="E67" s="310"/>
      <c r="F67" s="332" t="str">
        <f>IF('Avaliação Física 1'!$L$85="","-",'Avaliação Física 1'!$L$85)</f>
        <v>-</v>
      </c>
      <c r="G67" s="314"/>
      <c r="H67" s="332" t="str">
        <f>IF('Avaliação Física 2'!$L$85="","-",'Avaliação Física 2'!$L$85)</f>
        <v>-</v>
      </c>
      <c r="I67" s="314"/>
      <c r="J67" s="332" t="str">
        <f>IF('Avaliação Física 3'!$L$85="","-",'Avaliação Física 3'!$L$85)</f>
        <v>-</v>
      </c>
      <c r="K67" s="314"/>
      <c r="L67" s="332" t="str">
        <f>IF('Avaliação Física 4'!$L$85="","-",'Avaliação Física 4'!$L$85)</f>
        <v>-</v>
      </c>
      <c r="M67" s="314"/>
      <c r="N67" s="332" t="str">
        <f>IF('Avaliação Física 5'!$L$85="","-",'Avaliação Física 5'!$L$85)</f>
        <v>-</v>
      </c>
      <c r="O67" s="314"/>
      <c r="P67" s="332" t="str">
        <f>IF('Avaliação Física 6'!$L$85="","-",'Avaliação Física 6'!$L$85)</f>
        <v>-</v>
      </c>
      <c r="S67" s="324"/>
      <c r="T67" s="324"/>
      <c r="U67" s="324"/>
      <c r="V67" s="324"/>
      <c r="W67" s="324"/>
      <c r="X67" s="324"/>
      <c r="Y67" s="324"/>
      <c r="Z67" s="324"/>
      <c r="AA67" s="324"/>
      <c r="AB67" s="324"/>
      <c r="AC67" s="324"/>
      <c r="AD67" s="324"/>
      <c r="AE67" s="324"/>
      <c r="AF67" s="324"/>
      <c r="AG67" s="324"/>
      <c r="AH67" s="324"/>
      <c r="AI67" s="324"/>
      <c r="AJ67" s="324"/>
      <c r="AK67" s="324"/>
    </row>
    <row r="68" spans="1:37" customFormat="1" ht="6" customHeight="1" thickTop="1" thickBot="1" x14ac:dyDescent="0.25">
      <c r="B68" s="502"/>
      <c r="C68" s="310"/>
      <c r="D68" s="310"/>
      <c r="E68" s="328"/>
      <c r="F68" s="114"/>
      <c r="G68" s="335"/>
      <c r="H68" s="114"/>
      <c r="I68" s="335"/>
      <c r="J68" s="114"/>
      <c r="K68" s="335"/>
      <c r="L68" s="114"/>
      <c r="M68" s="335"/>
      <c r="N68" s="114"/>
      <c r="O68" s="335"/>
      <c r="P68" s="114"/>
      <c r="Q68" s="321"/>
    </row>
    <row r="69" spans="1:37" ht="12" customHeight="1" thickTop="1" thickBot="1" x14ac:dyDescent="0.25">
      <c r="B69" s="502"/>
      <c r="C69" s="426" t="s">
        <v>401</v>
      </c>
      <c r="D69" s="426"/>
      <c r="E69" s="310"/>
      <c r="F69" s="332" t="str">
        <f>IF('Avaliação Física 1'!$J$86="","-",'Avaliação Física 1'!$J$86)</f>
        <v>-</v>
      </c>
      <c r="G69" s="314"/>
      <c r="H69" s="332" t="str">
        <f>IF('Avaliação Física 2'!$J$86="","-",'Avaliação Física 2'!$J$86)</f>
        <v>-</v>
      </c>
      <c r="I69" s="314"/>
      <c r="J69" s="332" t="str">
        <f>IF('Avaliação Física 3'!$J$86="","-",'Avaliação Física 3'!$J$86)</f>
        <v>-</v>
      </c>
      <c r="K69" s="314"/>
      <c r="L69" s="332" t="str">
        <f>IF('Avaliação Física 4'!$J$86="","-",'Avaliação Física 4'!$J$86)</f>
        <v>-</v>
      </c>
      <c r="M69" s="314"/>
      <c r="N69" s="332" t="str">
        <f>IF('Avaliação Física 5'!$J$86="","-",'Avaliação Física 5'!$J$86)</f>
        <v>-</v>
      </c>
      <c r="O69" s="314"/>
      <c r="P69" s="332" t="str">
        <f>IF('Avaliação Física 6'!$J$86="","-",'Avaliação Física 6'!$J$86)</f>
        <v>-</v>
      </c>
      <c r="S69" s="324"/>
      <c r="T69" s="324"/>
      <c r="U69" s="324"/>
      <c r="V69" s="324"/>
      <c r="W69" s="324"/>
      <c r="X69" s="324"/>
      <c r="Y69" s="324"/>
      <c r="Z69" s="324"/>
      <c r="AA69" s="324"/>
      <c r="AB69" s="324"/>
      <c r="AC69" s="324"/>
      <c r="AD69" s="324"/>
      <c r="AE69" s="324"/>
      <c r="AF69" s="324"/>
      <c r="AG69" s="324"/>
      <c r="AH69" s="324"/>
      <c r="AI69" s="324"/>
      <c r="AJ69" s="324"/>
      <c r="AK69" s="324"/>
    </row>
    <row r="70" spans="1:37" customFormat="1" ht="6" customHeight="1" thickTop="1" thickBot="1" x14ac:dyDescent="0.25">
      <c r="B70" s="502"/>
      <c r="C70" s="310"/>
      <c r="D70" s="310"/>
      <c r="E70" s="328"/>
      <c r="F70" s="114"/>
      <c r="G70" s="335"/>
      <c r="H70" s="114"/>
      <c r="I70" s="335"/>
      <c r="J70" s="114"/>
      <c r="K70" s="335"/>
      <c r="L70" s="114"/>
      <c r="M70" s="335"/>
      <c r="N70" s="114"/>
      <c r="O70" s="335"/>
      <c r="P70" s="114"/>
      <c r="Q70" s="321"/>
    </row>
    <row r="71" spans="1:37" ht="12" customHeight="1" thickTop="1" thickBot="1" x14ac:dyDescent="0.25">
      <c r="B71" s="502"/>
      <c r="C71" s="426" t="s">
        <v>402</v>
      </c>
      <c r="D71" s="426"/>
      <c r="E71" s="310"/>
      <c r="F71" s="332" t="str">
        <f>IF('Avaliação Física 1'!$L$86="","-",'Avaliação Física 1'!$L$86)</f>
        <v>-</v>
      </c>
      <c r="G71" s="314"/>
      <c r="H71" s="332" t="str">
        <f>IF('Avaliação Física 2'!$L$86="","-",'Avaliação Física 2'!$L$86)</f>
        <v>-</v>
      </c>
      <c r="I71" s="314"/>
      <c r="J71" s="332" t="str">
        <f>IF('Avaliação Física 3'!$L$86="","-",'Avaliação Física 3'!$L$86)</f>
        <v>-</v>
      </c>
      <c r="K71" s="314"/>
      <c r="L71" s="332" t="str">
        <f>IF('Avaliação Física 4'!$L$86="","-",'Avaliação Física 4'!$L$86)</f>
        <v>-</v>
      </c>
      <c r="M71" s="314"/>
      <c r="N71" s="332" t="str">
        <f>IF('Avaliação Física 5'!$L$86="","-",'Avaliação Física 5'!$L$86)</f>
        <v>-</v>
      </c>
      <c r="O71" s="314"/>
      <c r="P71" s="332" t="str">
        <f>IF('Avaliação Física 6'!$L$86="","-",'Avaliação Física 6'!$L$86)</f>
        <v>-</v>
      </c>
      <c r="S71" s="324"/>
      <c r="T71" s="324"/>
      <c r="U71" s="324"/>
      <c r="V71" s="324"/>
      <c r="W71" s="324"/>
      <c r="X71" s="324"/>
      <c r="Y71" s="324"/>
      <c r="Z71" s="324"/>
      <c r="AA71" s="324"/>
      <c r="AB71" s="324"/>
      <c r="AC71" s="324"/>
      <c r="AD71" s="324"/>
      <c r="AE71" s="324"/>
      <c r="AF71" s="324"/>
      <c r="AG71" s="324"/>
      <c r="AH71" s="324"/>
      <c r="AI71" s="324"/>
      <c r="AJ71" s="324"/>
      <c r="AK71" s="324"/>
    </row>
    <row r="72" spans="1:37" customFormat="1" ht="6" customHeight="1" thickTop="1" thickBot="1" x14ac:dyDescent="0.25">
      <c r="B72" s="502"/>
      <c r="C72" s="310"/>
      <c r="D72" s="310"/>
      <c r="E72" s="328"/>
      <c r="F72" s="114"/>
      <c r="G72" s="335"/>
      <c r="H72" s="114"/>
      <c r="I72" s="335"/>
      <c r="J72" s="114"/>
      <c r="K72" s="335"/>
      <c r="L72" s="114"/>
      <c r="M72" s="335"/>
      <c r="N72" s="114"/>
      <c r="O72" s="335"/>
      <c r="P72" s="114"/>
      <c r="Q72" s="321"/>
    </row>
    <row r="73" spans="1:37" ht="12" customHeight="1" thickTop="1" thickBot="1" x14ac:dyDescent="0.25">
      <c r="B73" s="502"/>
      <c r="C73" s="426" t="s">
        <v>403</v>
      </c>
      <c r="D73" s="426"/>
      <c r="E73" s="310"/>
      <c r="F73" s="332" t="str">
        <f>IF('Avaliação Física 1'!$J$87="","-",'Avaliação Física 1'!$J$87)</f>
        <v>-</v>
      </c>
      <c r="G73" s="314"/>
      <c r="H73" s="332" t="str">
        <f>IF('Avaliação Física 2'!$J$87="","-",'Avaliação Física 2'!$J$87)</f>
        <v>-</v>
      </c>
      <c r="I73" s="314"/>
      <c r="J73" s="332" t="str">
        <f>IF('Avaliação Física 3'!$J$87="","-",'Avaliação Física 3'!$J$87)</f>
        <v>-</v>
      </c>
      <c r="K73" s="314"/>
      <c r="L73" s="332" t="str">
        <f>IF('Avaliação Física 4'!$J$87="","-",'Avaliação Física 4'!$J$87)</f>
        <v>-</v>
      </c>
      <c r="M73" s="314"/>
      <c r="N73" s="332" t="str">
        <f>IF('Avaliação Física 5'!$J$87="","-",'Avaliação Física 5'!$J$87)</f>
        <v>-</v>
      </c>
      <c r="O73" s="314"/>
      <c r="P73" s="332" t="str">
        <f>IF('Avaliação Física 6'!$J$87="","-",'Avaliação Física 6'!$J$87)</f>
        <v>-</v>
      </c>
      <c r="S73" s="324"/>
      <c r="T73" s="324"/>
      <c r="U73" s="324"/>
      <c r="V73" s="324"/>
      <c r="W73" s="324"/>
      <c r="X73" s="324"/>
      <c r="Y73" s="324"/>
      <c r="Z73" s="324"/>
      <c r="AA73" s="324"/>
      <c r="AB73" s="324"/>
      <c r="AC73" s="324"/>
      <c r="AD73" s="324"/>
      <c r="AE73" s="324"/>
      <c r="AF73" s="324"/>
      <c r="AG73" s="324"/>
      <c r="AH73" s="324"/>
      <c r="AI73" s="324"/>
      <c r="AJ73" s="324"/>
      <c r="AK73" s="324"/>
    </row>
    <row r="74" spans="1:37" customFormat="1" ht="6" customHeight="1" thickTop="1" thickBot="1" x14ac:dyDescent="0.25">
      <c r="B74" s="502"/>
      <c r="C74" s="310"/>
      <c r="D74" s="310"/>
      <c r="E74" s="328"/>
      <c r="F74" s="114"/>
      <c r="G74" s="335"/>
      <c r="H74" s="114"/>
      <c r="I74" s="335"/>
      <c r="J74" s="114"/>
      <c r="K74" s="335"/>
      <c r="L74" s="114"/>
      <c r="M74" s="335"/>
      <c r="N74" s="114"/>
      <c r="O74" s="335"/>
      <c r="P74" s="114"/>
      <c r="Q74" s="321"/>
    </row>
    <row r="75" spans="1:37" ht="12" customHeight="1" thickTop="1" thickBot="1" x14ac:dyDescent="0.25">
      <c r="B75" s="502"/>
      <c r="C75" s="426" t="s">
        <v>404</v>
      </c>
      <c r="D75" s="426"/>
      <c r="E75" s="310"/>
      <c r="F75" s="332" t="str">
        <f>IF('Avaliação Física 1'!$L$87="","-",'Avaliação Física 1'!$L$87)</f>
        <v>-</v>
      </c>
      <c r="G75" s="314"/>
      <c r="H75" s="332" t="str">
        <f>IF('Avaliação Física 2'!$L$87="","-",'Avaliação Física 2'!$L$87)</f>
        <v>-</v>
      </c>
      <c r="I75" s="314"/>
      <c r="J75" s="332" t="str">
        <f>IF('Avaliação Física 3'!$L$87="","-",'Avaliação Física 3'!$L$87)</f>
        <v>-</v>
      </c>
      <c r="K75" s="314"/>
      <c r="L75" s="332" t="str">
        <f>IF('Avaliação Física 4'!$L$87="","-",'Avaliação Física 4'!$L$87)</f>
        <v>-</v>
      </c>
      <c r="M75" s="314"/>
      <c r="N75" s="332" t="str">
        <f>IF('Avaliação Física 5'!$L$87="","-",'Avaliação Física 5'!$L$87)</f>
        <v>-</v>
      </c>
      <c r="O75" s="314"/>
      <c r="P75" s="332" t="str">
        <f>IF('Avaliação Física 6'!$L$87="","-",'Avaliação Física 6'!$L$87)</f>
        <v>-</v>
      </c>
      <c r="S75" s="324"/>
      <c r="T75" s="324"/>
      <c r="U75" s="324"/>
      <c r="V75" s="324"/>
      <c r="W75" s="324"/>
      <c r="X75" s="324"/>
      <c r="Y75" s="324"/>
      <c r="Z75" s="324"/>
      <c r="AA75" s="324"/>
      <c r="AB75" s="324"/>
      <c r="AC75" s="324"/>
      <c r="AD75" s="324"/>
      <c r="AE75" s="324"/>
      <c r="AF75" s="324"/>
      <c r="AG75" s="324"/>
      <c r="AH75" s="324"/>
      <c r="AI75" s="324"/>
      <c r="AJ75" s="324"/>
      <c r="AK75" s="324"/>
    </row>
    <row r="76" spans="1:37" customFormat="1" ht="6.6" customHeight="1" thickTop="1" thickBot="1" x14ac:dyDescent="0.25">
      <c r="B76" s="502"/>
      <c r="C76" s="426"/>
      <c r="D76" s="426"/>
      <c r="E76" s="310"/>
      <c r="F76" s="114"/>
      <c r="G76" s="335"/>
      <c r="H76" s="114"/>
      <c r="I76" s="335"/>
      <c r="J76" s="114"/>
      <c r="K76" s="335"/>
      <c r="L76" s="114"/>
      <c r="M76" s="335"/>
      <c r="N76" s="114"/>
      <c r="O76" s="335"/>
      <c r="P76" s="114"/>
      <c r="Q76" s="321"/>
    </row>
    <row r="77" spans="1:37" ht="15.75" thickTop="1" x14ac:dyDescent="0.2">
      <c r="B77"/>
      <c r="C77"/>
      <c r="F77" s="85"/>
      <c r="H77" s="85"/>
      <c r="J77" s="85"/>
      <c r="L77" s="85"/>
      <c r="N77" s="85"/>
      <c r="P77" s="85"/>
      <c r="S77" s="324"/>
      <c r="T77" s="324"/>
      <c r="U77" s="324"/>
      <c r="V77" s="324"/>
      <c r="W77" s="324"/>
      <c r="X77" s="324"/>
      <c r="Y77" s="324"/>
      <c r="Z77" s="324"/>
      <c r="AA77" s="324"/>
      <c r="AB77" s="324"/>
      <c r="AC77" s="324"/>
      <c r="AD77" s="324"/>
      <c r="AE77" s="324"/>
      <c r="AF77" s="324"/>
      <c r="AG77" s="324"/>
      <c r="AH77" s="324"/>
      <c r="AI77" s="324"/>
      <c r="AJ77" s="324"/>
      <c r="AK77" s="324"/>
    </row>
    <row r="78" spans="1:37" s="344" customFormat="1" ht="11.25" hidden="1" x14ac:dyDescent="0.15">
      <c r="A78" s="92"/>
      <c r="B78" s="92"/>
      <c r="E78" s="92"/>
      <c r="F78" s="345"/>
      <c r="G78" s="92"/>
      <c r="H78" s="345"/>
      <c r="I78" s="92"/>
      <c r="J78" s="345"/>
      <c r="K78" s="92"/>
      <c r="L78" s="345"/>
      <c r="M78" s="92"/>
      <c r="N78" s="345"/>
      <c r="O78" s="92"/>
      <c r="P78" s="345"/>
      <c r="Q78" s="92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7"/>
      <c r="AE78" s="347"/>
      <c r="AF78" s="347"/>
      <c r="AG78" s="347"/>
      <c r="AH78" s="347"/>
      <c r="AI78" s="347"/>
      <c r="AJ78" s="347"/>
      <c r="AK78" s="347"/>
    </row>
    <row r="79" spans="1:37" ht="15" hidden="1" x14ac:dyDescent="0.2">
      <c r="B79"/>
      <c r="C79"/>
      <c r="D79"/>
      <c r="F79" s="85"/>
      <c r="H79" s="85"/>
      <c r="J79" s="85"/>
      <c r="L79" s="85"/>
      <c r="N79" s="85"/>
      <c r="P79" s="85"/>
    </row>
    <row r="80" spans="1:37" ht="15" hidden="1" x14ac:dyDescent="0.2">
      <c r="B80"/>
      <c r="C80"/>
      <c r="D80"/>
      <c r="F80" s="85"/>
      <c r="H80" s="85"/>
      <c r="J80" s="85"/>
      <c r="L80" s="85"/>
      <c r="N80" s="85"/>
      <c r="P80" s="85"/>
    </row>
    <row r="81" spans="2:16" ht="15" hidden="1" x14ac:dyDescent="0.2">
      <c r="B81"/>
      <c r="C81"/>
      <c r="D81"/>
      <c r="F81" s="85"/>
      <c r="H81" s="85"/>
      <c r="J81" s="85"/>
      <c r="L81" s="85"/>
      <c r="N81" s="85"/>
      <c r="P81" s="85"/>
    </row>
    <row r="82" spans="2:16" ht="15" hidden="1" x14ac:dyDescent="0.2">
      <c r="B82"/>
      <c r="C82"/>
      <c r="D82"/>
      <c r="F82" s="85"/>
      <c r="H82" s="85"/>
      <c r="J82" s="85"/>
      <c r="L82" s="85"/>
      <c r="N82" s="85"/>
      <c r="P82" s="85"/>
    </row>
    <row r="83" spans="2:16" ht="15" hidden="1" x14ac:dyDescent="0.2">
      <c r="B83"/>
      <c r="C83"/>
      <c r="D83"/>
      <c r="F83" s="85"/>
      <c r="H83" s="85"/>
      <c r="J83" s="85"/>
      <c r="L83" s="85"/>
      <c r="N83" s="85"/>
      <c r="P83" s="85"/>
    </row>
    <row r="84" spans="2:16" ht="15" hidden="1" x14ac:dyDescent="0.2">
      <c r="B84"/>
      <c r="C84"/>
      <c r="D84"/>
      <c r="F84" s="85"/>
      <c r="H84" s="85"/>
      <c r="J84" s="85"/>
      <c r="L84" s="85"/>
      <c r="N84" s="85"/>
      <c r="P84" s="85"/>
    </row>
    <row r="85" spans="2:16" ht="15" hidden="1" x14ac:dyDescent="0.2">
      <c r="B85"/>
      <c r="C85"/>
      <c r="D85"/>
      <c r="F85" s="85"/>
      <c r="H85" s="85"/>
      <c r="J85" s="85"/>
      <c r="L85" s="85"/>
      <c r="N85" s="85"/>
      <c r="P85" s="85"/>
    </row>
    <row r="86" spans="2:16" ht="15" hidden="1" x14ac:dyDescent="0.2">
      <c r="B86"/>
      <c r="C86"/>
      <c r="D86"/>
      <c r="F86" s="85"/>
      <c r="H86" s="85"/>
      <c r="J86" s="85"/>
      <c r="L86" s="85"/>
      <c r="N86" s="85"/>
      <c r="P86" s="85"/>
    </row>
    <row r="87" spans="2:16" ht="15" hidden="1" x14ac:dyDescent="0.2">
      <c r="B87"/>
      <c r="C87"/>
      <c r="D87"/>
      <c r="F87" s="85"/>
      <c r="H87" s="85"/>
      <c r="J87" s="85"/>
      <c r="L87" s="85"/>
      <c r="N87" s="85"/>
      <c r="P87" s="85"/>
    </row>
    <row r="88" spans="2:16" ht="15" hidden="1" x14ac:dyDescent="0.2">
      <c r="B88"/>
      <c r="C88"/>
      <c r="D88"/>
      <c r="F88" s="85"/>
      <c r="H88" s="85"/>
      <c r="J88" s="85"/>
      <c r="L88" s="85"/>
      <c r="N88" s="85"/>
      <c r="P88" s="85"/>
    </row>
    <row r="89" spans="2:16" ht="15" hidden="1" x14ac:dyDescent="0.2">
      <c r="B89"/>
      <c r="C89"/>
      <c r="D89"/>
      <c r="F89" s="85"/>
      <c r="H89" s="85"/>
      <c r="J89" s="85"/>
      <c r="L89" s="85"/>
      <c r="N89" s="85"/>
      <c r="P89" s="85"/>
    </row>
    <row r="90" spans="2:16" ht="15" hidden="1" x14ac:dyDescent="0.2">
      <c r="B90"/>
      <c r="C90"/>
      <c r="D90"/>
      <c r="F90" s="85"/>
      <c r="H90" s="85"/>
      <c r="J90" s="85"/>
      <c r="L90" s="85"/>
      <c r="N90" s="85"/>
      <c r="P90" s="85"/>
    </row>
    <row r="91" spans="2:16" ht="15" hidden="1" x14ac:dyDescent="0.2">
      <c r="B91"/>
      <c r="C91"/>
      <c r="D91"/>
      <c r="F91" s="85"/>
      <c r="H91" s="85"/>
      <c r="J91" s="85"/>
      <c r="L91" s="85"/>
      <c r="N91" s="85"/>
      <c r="P91" s="85"/>
    </row>
    <row r="92" spans="2:16" ht="15" hidden="1" x14ac:dyDescent="0.2">
      <c r="B92"/>
      <c r="C92"/>
      <c r="D92"/>
      <c r="F92" s="85"/>
      <c r="H92" s="85"/>
      <c r="J92" s="85"/>
      <c r="L92" s="85"/>
      <c r="N92" s="85"/>
      <c r="P92" s="85"/>
    </row>
    <row r="93" spans="2:16" ht="15" hidden="1" x14ac:dyDescent="0.2">
      <c r="B93"/>
      <c r="C93"/>
      <c r="D93"/>
      <c r="F93" s="85"/>
      <c r="H93" s="85"/>
      <c r="J93" s="85"/>
      <c r="L93" s="85"/>
      <c r="N93" s="85"/>
      <c r="P93" s="85"/>
    </row>
    <row r="94" spans="2:16" ht="15" hidden="1" x14ac:dyDescent="0.2">
      <c r="B94"/>
      <c r="C94"/>
      <c r="D94"/>
      <c r="F94" s="85"/>
      <c r="H94" s="85"/>
      <c r="J94" s="85"/>
      <c r="L94" s="85"/>
      <c r="N94" s="85"/>
      <c r="P94" s="85"/>
    </row>
    <row r="95" spans="2:16" ht="15" hidden="1" x14ac:dyDescent="0.2">
      <c r="B95"/>
      <c r="C95"/>
      <c r="D95"/>
      <c r="F95" s="85"/>
      <c r="H95" s="85"/>
      <c r="J95" s="85"/>
      <c r="L95" s="85"/>
      <c r="N95" s="85"/>
      <c r="P95" s="85"/>
    </row>
    <row r="96" spans="2:16" ht="15" hidden="1" x14ac:dyDescent="0.2">
      <c r="B96"/>
      <c r="C96"/>
      <c r="D96"/>
      <c r="F96" s="85"/>
      <c r="H96" s="85"/>
      <c r="J96" s="85"/>
      <c r="L96" s="85"/>
      <c r="N96" s="85"/>
      <c r="P96" s="85"/>
    </row>
    <row r="97" spans="2:16" ht="15" hidden="1" x14ac:dyDescent="0.2">
      <c r="B97"/>
      <c r="C97"/>
      <c r="D97"/>
      <c r="F97" s="85"/>
      <c r="H97" s="85"/>
      <c r="J97" s="85"/>
      <c r="L97" s="85"/>
      <c r="N97" s="85"/>
      <c r="P97" s="85"/>
    </row>
    <row r="98" spans="2:16" ht="15" hidden="1" x14ac:dyDescent="0.2">
      <c r="B98"/>
      <c r="C98"/>
      <c r="D98"/>
      <c r="F98" s="85"/>
      <c r="H98" s="85"/>
      <c r="J98" s="85"/>
      <c r="L98" s="85"/>
      <c r="N98" s="85"/>
      <c r="P98" s="85"/>
    </row>
    <row r="99" spans="2:16" ht="15" hidden="1" x14ac:dyDescent="0.2">
      <c r="B99"/>
      <c r="C99"/>
      <c r="D99"/>
      <c r="F99" s="85"/>
      <c r="H99" s="85"/>
      <c r="J99" s="85"/>
      <c r="L99" s="85"/>
      <c r="N99" s="85"/>
      <c r="P99" s="85"/>
    </row>
    <row r="100" spans="2:16" ht="15" hidden="1" x14ac:dyDescent="0.2">
      <c r="B100"/>
      <c r="C100"/>
      <c r="D100"/>
      <c r="F100" s="85"/>
      <c r="H100" s="85"/>
      <c r="J100" s="85"/>
      <c r="L100" s="85"/>
      <c r="N100" s="85"/>
      <c r="P100" s="85"/>
    </row>
    <row r="101" spans="2:16" ht="15" hidden="1" x14ac:dyDescent="0.2">
      <c r="B101"/>
      <c r="C101"/>
      <c r="D101"/>
      <c r="F101" s="85"/>
      <c r="H101" s="85"/>
      <c r="J101" s="85"/>
      <c r="L101" s="85"/>
      <c r="N101" s="85"/>
      <c r="P101" s="85"/>
    </row>
    <row r="102" spans="2:16" ht="14.45" hidden="1" customHeight="1" x14ac:dyDescent="0.2"/>
    <row r="103" spans="2:16" ht="14.45" hidden="1" customHeight="1" x14ac:dyDescent="0.2"/>
    <row r="104" spans="2:16" ht="14.45" hidden="1" customHeight="1" x14ac:dyDescent="0.2"/>
  </sheetData>
  <sheetProtection algorithmName="SHA-512" hashValue="b5uxvmGj3JvLWRLcp6YNFLMRdyee7MrX6g08Abhq8bLwbOdKeXal+NekqUlazrx29jGjYYT3w2LCfkeY/X6C0g==" saltValue="/KZUb8MSy/llYg/tv84rcA==" spinCount="100000" sheet="1" selectLockedCells="1" selectUnlockedCells="1"/>
  <mergeCells count="39">
    <mergeCell ref="B16:B30"/>
    <mergeCell ref="C16:D16"/>
    <mergeCell ref="S16:T16"/>
    <mergeCell ref="C18:D18"/>
    <mergeCell ref="C20:D20"/>
    <mergeCell ref="C32:D32"/>
    <mergeCell ref="C11:D11"/>
    <mergeCell ref="S11:T11"/>
    <mergeCell ref="C13:D13"/>
    <mergeCell ref="S13:T13"/>
    <mergeCell ref="S15:T15"/>
    <mergeCell ref="C22:D22"/>
    <mergeCell ref="C24:D24"/>
    <mergeCell ref="C26:D26"/>
    <mergeCell ref="C28:D28"/>
    <mergeCell ref="C30:D30"/>
    <mergeCell ref="C73:D73"/>
    <mergeCell ref="B33:B41"/>
    <mergeCell ref="C35:D35"/>
    <mergeCell ref="C37:D37"/>
    <mergeCell ref="C39:D39"/>
    <mergeCell ref="C41:D41"/>
    <mergeCell ref="C43:D43"/>
    <mergeCell ref="C75:D75"/>
    <mergeCell ref="C45:D45"/>
    <mergeCell ref="C47:D47"/>
    <mergeCell ref="B51:B76"/>
    <mergeCell ref="C51:D51"/>
    <mergeCell ref="C53:D53"/>
    <mergeCell ref="C55:D55"/>
    <mergeCell ref="C57:D57"/>
    <mergeCell ref="C59:D59"/>
    <mergeCell ref="C61:D61"/>
    <mergeCell ref="C63:D63"/>
    <mergeCell ref="C76:D76"/>
    <mergeCell ref="C65:D65"/>
    <mergeCell ref="C67:D67"/>
    <mergeCell ref="C69:D69"/>
    <mergeCell ref="C71:D71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96" orientation="portrait" r:id="rId1"/>
  <colBreaks count="1" manualBreakCount="1">
    <brk id="17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1A92-5EEF-48B4-95DB-0983318B5E8B}">
  <dimension ref="A1:T51"/>
  <sheetViews>
    <sheetView showGridLines="0" showRowColHeaders="0" zoomScaleNormal="100" workbookViewId="0"/>
  </sheetViews>
  <sheetFormatPr defaultColWidth="0" defaultRowHeight="14.45" customHeight="1" zeroHeight="1" x14ac:dyDescent="0.2"/>
  <cols>
    <col min="1" max="1" width="4.16796875" customWidth="1"/>
    <col min="2" max="10" width="8.875" customWidth="1"/>
    <col min="11" max="11" width="8.875" hidden="1" customWidth="1"/>
    <col min="12" max="12" width="3.62890625" hidden="1" customWidth="1"/>
    <col min="13" max="13" width="8.875" hidden="1" customWidth="1"/>
    <col min="14" max="14" width="8.875" style="102" hidden="1" customWidth="1"/>
    <col min="15" max="16384" width="8.875" hidden="1"/>
  </cols>
  <sheetData>
    <row r="1" spans="13:20" ht="14.45" customHeight="1" x14ac:dyDescent="0.2"/>
    <row r="2" spans="13:20" ht="14.45" customHeight="1" x14ac:dyDescent="0.2"/>
    <row r="3" spans="13:20" ht="14.45" customHeight="1" x14ac:dyDescent="0.2"/>
    <row r="4" spans="13:20" ht="14.45" customHeight="1" x14ac:dyDescent="0.2"/>
    <row r="5" spans="13:20" ht="14.45" customHeight="1" x14ac:dyDescent="0.2"/>
    <row r="6" spans="13:20" ht="14.45" customHeight="1" x14ac:dyDescent="0.2"/>
    <row r="7" spans="13:20" ht="14.45" customHeight="1" x14ac:dyDescent="0.2"/>
    <row r="8" spans="13:20" ht="14.45" customHeight="1" x14ac:dyDescent="0.2"/>
    <row r="9" spans="13:20" ht="15" x14ac:dyDescent="0.2">
      <c r="M9" s="505"/>
      <c r="N9" s="505"/>
      <c r="O9" s="349" t="str">
        <f>IF(Comparativo!F9="","-",Comparativo!F9)</f>
        <v>-</v>
      </c>
      <c r="P9" s="349" t="str">
        <f>IF(Comparativo!H9="","-",Comparativo!H9)</f>
        <v>-</v>
      </c>
      <c r="Q9" s="349" t="str">
        <f>IF(Comparativo!J9="","-",Comparativo!J9)</f>
        <v>-</v>
      </c>
      <c r="R9" s="349" t="str">
        <f>IF(Comparativo!L9="","-",Comparativo!L9)</f>
        <v>-</v>
      </c>
      <c r="S9" s="349" t="str">
        <f>IF(Comparativo!N9="","-",Comparativo!N9)</f>
        <v>-</v>
      </c>
      <c r="T9" s="349" t="str">
        <f>IF(Comparativo!P9="","-",Comparativo!P9)</f>
        <v>-</v>
      </c>
    </row>
    <row r="10" spans="13:20" ht="15" x14ac:dyDescent="0.2">
      <c r="M10" s="314"/>
      <c r="N10" s="314"/>
      <c r="O10" s="314"/>
      <c r="P10" s="314"/>
      <c r="Q10" s="314"/>
      <c r="R10" s="314"/>
      <c r="S10" s="314"/>
      <c r="T10" s="314"/>
    </row>
    <row r="11" spans="13:20" ht="15" x14ac:dyDescent="0.2">
      <c r="M11" s="505"/>
      <c r="N11" s="505"/>
      <c r="O11" s="350" t="str">
        <f>O9</f>
        <v>-</v>
      </c>
      <c r="P11" s="350" t="str">
        <f t="shared" ref="P11:T11" si="0">P9</f>
        <v>-</v>
      </c>
      <c r="Q11" s="350" t="str">
        <f t="shared" si="0"/>
        <v>-</v>
      </c>
      <c r="R11" s="350" t="str">
        <f t="shared" si="0"/>
        <v>-</v>
      </c>
      <c r="S11" s="350" t="str">
        <f t="shared" si="0"/>
        <v>-</v>
      </c>
      <c r="T11" s="350" t="str">
        <f t="shared" si="0"/>
        <v>-</v>
      </c>
    </row>
    <row r="12" spans="13:20" ht="15" x14ac:dyDescent="0.2">
      <c r="M12" s="505" t="str">
        <f>Comparativo!C16</f>
        <v>Subscapular:</v>
      </c>
      <c r="N12" s="505"/>
      <c r="O12" s="351" t="str">
        <f>Comparativo!F16</f>
        <v>-</v>
      </c>
      <c r="P12" s="351" t="str">
        <f>Comparativo!H16</f>
        <v>-</v>
      </c>
      <c r="Q12" s="351" t="str">
        <f>Comparativo!J16</f>
        <v>-</v>
      </c>
      <c r="R12" s="351" t="str">
        <f>Comparativo!L16</f>
        <v>-</v>
      </c>
      <c r="S12" s="351" t="str">
        <f>Comparativo!N16</f>
        <v>-</v>
      </c>
      <c r="T12" s="351" t="str">
        <f>Comparativo!P16</f>
        <v>-</v>
      </c>
    </row>
    <row r="13" spans="13:20" ht="15" x14ac:dyDescent="0.2">
      <c r="M13" s="505" t="str">
        <f>Comparativo!C18</f>
        <v>Tricipital:</v>
      </c>
      <c r="N13" s="505"/>
      <c r="O13" s="351" t="str">
        <f>Comparativo!F18</f>
        <v>-</v>
      </c>
      <c r="P13" s="351" t="str">
        <f>Comparativo!H18</f>
        <v>-</v>
      </c>
      <c r="Q13" s="351" t="str">
        <f>Comparativo!J18</f>
        <v>-</v>
      </c>
      <c r="R13" s="351" t="str">
        <f>Comparativo!L18</f>
        <v>-</v>
      </c>
      <c r="S13" s="351" t="str">
        <f>Comparativo!N18</f>
        <v>-</v>
      </c>
      <c r="T13" s="351" t="str">
        <f>Comparativo!P18</f>
        <v>-</v>
      </c>
    </row>
    <row r="14" spans="13:20" ht="15" x14ac:dyDescent="0.2">
      <c r="M14" s="505" t="str">
        <f>Comparativo!C20</f>
        <v>Bicipital</v>
      </c>
      <c r="N14" s="505"/>
      <c r="O14" s="351" t="str">
        <f>Comparativo!F20</f>
        <v>-</v>
      </c>
      <c r="P14" s="351" t="str">
        <f>Comparativo!H20</f>
        <v>-</v>
      </c>
      <c r="Q14" s="351" t="str">
        <f>Comparativo!J20</f>
        <v>-</v>
      </c>
      <c r="R14" s="351" t="str">
        <f>Comparativo!L20</f>
        <v>-</v>
      </c>
      <c r="S14" s="351" t="str">
        <f>Comparativo!N20</f>
        <v>-</v>
      </c>
      <c r="T14" s="351" t="str">
        <f>Comparativo!P20</f>
        <v>-</v>
      </c>
    </row>
    <row r="15" spans="13:20" ht="15" x14ac:dyDescent="0.2">
      <c r="M15" s="505" t="str">
        <f>Comparativo!C22</f>
        <v>Peitoral:</v>
      </c>
      <c r="N15" s="505"/>
      <c r="O15" s="351" t="str">
        <f>Comparativo!F22</f>
        <v>-</v>
      </c>
      <c r="P15" s="351" t="str">
        <f>Comparativo!H22</f>
        <v>-</v>
      </c>
      <c r="Q15" s="351" t="str">
        <f>Comparativo!J22</f>
        <v>-</v>
      </c>
      <c r="R15" s="351" t="str">
        <f>Comparativo!L22</f>
        <v>-</v>
      </c>
      <c r="S15" s="351" t="str">
        <f>Comparativo!N22</f>
        <v>-</v>
      </c>
      <c r="T15" s="351" t="str">
        <f>Comparativo!P22</f>
        <v>-</v>
      </c>
    </row>
    <row r="16" spans="13:20" ht="15" x14ac:dyDescent="0.2">
      <c r="M16" s="505" t="str">
        <f>Comparativo!C24</f>
        <v>Axilar-média:</v>
      </c>
      <c r="N16" s="505"/>
      <c r="O16" s="351" t="str">
        <f>Comparativo!F24</f>
        <v>-</v>
      </c>
      <c r="P16" s="351" t="str">
        <f>Comparativo!H24</f>
        <v>-</v>
      </c>
      <c r="Q16" s="351" t="str">
        <f>Comparativo!J24</f>
        <v>-</v>
      </c>
      <c r="R16" s="351" t="str">
        <f>Comparativo!L24</f>
        <v>-</v>
      </c>
      <c r="S16" s="351" t="str">
        <f>Comparativo!N24</f>
        <v>-</v>
      </c>
      <c r="T16" s="351" t="str">
        <f>Comparativo!P24</f>
        <v>-</v>
      </c>
    </row>
    <row r="17" spans="13:20" ht="15" x14ac:dyDescent="0.2">
      <c r="M17" s="505" t="str">
        <f>Comparativo!C26</f>
        <v>Supra-ilíaca:</v>
      </c>
      <c r="N17" s="505"/>
      <c r="O17" s="351" t="str">
        <f>Comparativo!F26</f>
        <v>-</v>
      </c>
      <c r="P17" s="351" t="str">
        <f>Comparativo!H26</f>
        <v>-</v>
      </c>
      <c r="Q17" s="351" t="str">
        <f>Comparativo!J26</f>
        <v>-</v>
      </c>
      <c r="R17" s="351" t="str">
        <f>Comparativo!L26</f>
        <v>-</v>
      </c>
      <c r="S17" s="351" t="str">
        <f>Comparativo!N26</f>
        <v>-</v>
      </c>
      <c r="T17" s="351" t="str">
        <f>Comparativo!P26</f>
        <v>-</v>
      </c>
    </row>
    <row r="18" spans="13:20" ht="15" x14ac:dyDescent="0.2">
      <c r="M18" s="505" t="str">
        <f>Comparativo!C28</f>
        <v>Abdominal:</v>
      </c>
      <c r="N18" s="505"/>
      <c r="O18" s="351" t="str">
        <f>Comparativo!F28</f>
        <v>-</v>
      </c>
      <c r="P18" s="351" t="str">
        <f>Comparativo!H28</f>
        <v>-</v>
      </c>
      <c r="Q18" s="351" t="str">
        <f>Comparativo!J28</f>
        <v>-</v>
      </c>
      <c r="R18" s="351" t="str">
        <f>Comparativo!L28</f>
        <v>-</v>
      </c>
      <c r="S18" s="351" t="str">
        <f>Comparativo!N28</f>
        <v>-</v>
      </c>
      <c r="T18" s="351" t="str">
        <f>Comparativo!P28</f>
        <v>-</v>
      </c>
    </row>
    <row r="19" spans="13:20" ht="15" x14ac:dyDescent="0.2">
      <c r="M19" s="505" t="str">
        <f>Comparativo!C30</f>
        <v>Coxa:</v>
      </c>
      <c r="N19" s="505"/>
      <c r="O19" s="351" t="str">
        <f>Comparativo!F30</f>
        <v>-</v>
      </c>
      <c r="P19" s="351" t="str">
        <f>Comparativo!H30</f>
        <v>-</v>
      </c>
      <c r="Q19" s="351" t="str">
        <f>Comparativo!J30</f>
        <v>-</v>
      </c>
      <c r="R19" s="351" t="str">
        <f>Comparativo!L30</f>
        <v>-</v>
      </c>
      <c r="S19" s="351" t="str">
        <f>Comparativo!N30</f>
        <v>-</v>
      </c>
      <c r="T19" s="351" t="str">
        <f>Comparativo!P30</f>
        <v>-</v>
      </c>
    </row>
    <row r="20" spans="13:20" ht="15" x14ac:dyDescent="0.2">
      <c r="M20" s="505" t="str">
        <f>Comparativo!C32</f>
        <v>Panturrilha</v>
      </c>
      <c r="N20" s="505"/>
      <c r="O20" s="351" t="str">
        <f>Comparativo!F32</f>
        <v>-</v>
      </c>
      <c r="P20" s="351" t="str">
        <f>Comparativo!H32</f>
        <v>-</v>
      </c>
      <c r="Q20" s="351" t="str">
        <f>Comparativo!J32</f>
        <v>-</v>
      </c>
      <c r="R20" s="351" t="str">
        <f>Comparativo!L32</f>
        <v>-</v>
      </c>
      <c r="S20" s="351" t="str">
        <f>Comparativo!N32</f>
        <v>-</v>
      </c>
      <c r="T20" s="351" t="str">
        <f>Comparativo!P32</f>
        <v>-</v>
      </c>
    </row>
    <row r="21" spans="13:20" ht="15" x14ac:dyDescent="0.2">
      <c r="M21" s="314"/>
      <c r="N21" s="314"/>
      <c r="O21" s="314"/>
      <c r="P21" s="314"/>
      <c r="Q21" s="314"/>
      <c r="R21" s="314"/>
      <c r="S21" s="314"/>
      <c r="T21" s="314"/>
    </row>
    <row r="22" spans="13:20" ht="15" x14ac:dyDescent="0.2">
      <c r="M22" s="314"/>
      <c r="N22" s="314"/>
      <c r="O22" s="314"/>
      <c r="P22" s="314"/>
      <c r="Q22" s="314"/>
      <c r="R22" s="314"/>
      <c r="S22" s="314"/>
      <c r="T22" s="314"/>
    </row>
    <row r="23" spans="13:20" ht="15" x14ac:dyDescent="0.2">
      <c r="M23" s="505"/>
      <c r="N23" s="505"/>
      <c r="O23" s="350" t="str">
        <f>O9</f>
        <v>-</v>
      </c>
      <c r="P23" s="350" t="str">
        <f t="shared" ref="P23:T23" si="1">P9</f>
        <v>-</v>
      </c>
      <c r="Q23" s="350" t="str">
        <f t="shared" si="1"/>
        <v>-</v>
      </c>
      <c r="R23" s="350" t="str">
        <f t="shared" si="1"/>
        <v>-</v>
      </c>
      <c r="S23" s="350" t="str">
        <f t="shared" si="1"/>
        <v>-</v>
      </c>
      <c r="T23" s="350" t="str">
        <f t="shared" si="1"/>
        <v>-</v>
      </c>
    </row>
    <row r="24" spans="13:20" ht="15" x14ac:dyDescent="0.2">
      <c r="M24" s="505" t="str">
        <f>Comparativo!C11</f>
        <v>Peso atual (kg):</v>
      </c>
      <c r="N24" s="505"/>
      <c r="O24" s="351" t="str">
        <f>Comparativo!F11</f>
        <v>-</v>
      </c>
      <c r="P24" s="351" t="str">
        <f>Comparativo!H11</f>
        <v>-</v>
      </c>
      <c r="Q24" s="351" t="str">
        <f>Comparativo!J11</f>
        <v>-</v>
      </c>
      <c r="R24" s="351" t="str">
        <f>Comparativo!L11</f>
        <v>-</v>
      </c>
      <c r="S24" s="351" t="str">
        <f>Comparativo!N11</f>
        <v>-</v>
      </c>
      <c r="T24" s="351" t="str">
        <f>Comparativo!P11</f>
        <v>-</v>
      </c>
    </row>
    <row r="25" spans="13:20" ht="15" x14ac:dyDescent="0.2">
      <c r="M25" s="505" t="str">
        <f>Comparativo!C35</f>
        <v>Gordura atual (%)</v>
      </c>
      <c r="N25" s="505"/>
      <c r="O25" s="351" t="str">
        <f>Comparativo!F35</f>
        <v>-</v>
      </c>
      <c r="P25" s="351" t="str">
        <f>Comparativo!H35</f>
        <v>-</v>
      </c>
      <c r="Q25" s="351" t="str">
        <f>Comparativo!J35</f>
        <v>-</v>
      </c>
      <c r="R25" s="351" t="str">
        <f>Comparativo!L35</f>
        <v>-</v>
      </c>
      <c r="S25" s="351" t="str">
        <f>Comparativo!N35</f>
        <v>-</v>
      </c>
      <c r="T25" s="351" t="str">
        <f>Comparativo!P35</f>
        <v>-</v>
      </c>
    </row>
    <row r="26" spans="13:20" ht="15" x14ac:dyDescent="0.2">
      <c r="M26" s="505" t="str">
        <f>Comparativo!C37</f>
        <v>Massa gorda</v>
      </c>
      <c r="N26" s="505"/>
      <c r="O26" s="351" t="str">
        <f>Comparativo!F37</f>
        <v>-</v>
      </c>
      <c r="P26" s="351" t="str">
        <f>Comparativo!H37</f>
        <v>-</v>
      </c>
      <c r="Q26" s="351" t="str">
        <f>Comparativo!J37</f>
        <v>-</v>
      </c>
      <c r="R26" s="351" t="str">
        <f>Comparativo!L37</f>
        <v>-</v>
      </c>
      <c r="S26" s="351" t="str">
        <f>Comparativo!N37</f>
        <v>-</v>
      </c>
      <c r="T26" s="351" t="str">
        <f>Comparativo!P37</f>
        <v>-</v>
      </c>
    </row>
    <row r="27" spans="13:20" ht="15" x14ac:dyDescent="0.2">
      <c r="M27" s="505" t="str">
        <f>Comparativo!C39</f>
        <v>Massa livre de gordura</v>
      </c>
      <c r="N27" s="505"/>
      <c r="O27" s="351" t="str">
        <f>Comparativo!F39</f>
        <v>-</v>
      </c>
      <c r="P27" s="351" t="str">
        <f>Comparativo!H39</f>
        <v>-</v>
      </c>
      <c r="Q27" s="351" t="str">
        <f>Comparativo!J39</f>
        <v>-</v>
      </c>
      <c r="R27" s="351" t="str">
        <f>Comparativo!L39</f>
        <v>-</v>
      </c>
      <c r="S27" s="351" t="str">
        <f>Comparativo!N39</f>
        <v>-</v>
      </c>
      <c r="T27" s="351" t="str">
        <f>Comparativo!P39</f>
        <v>-</v>
      </c>
    </row>
    <row r="28" spans="13:20" ht="15" x14ac:dyDescent="0.2">
      <c r="M28" s="505" t="str">
        <f>Comparativo!C41</f>
        <v>Massa muscular</v>
      </c>
      <c r="N28" s="505"/>
      <c r="O28" s="351" t="str">
        <f>Comparativo!F41</f>
        <v>-</v>
      </c>
      <c r="P28" s="351" t="str">
        <f>Comparativo!H41</f>
        <v>-</v>
      </c>
      <c r="Q28" s="351" t="str">
        <f>Comparativo!J41</f>
        <v>-</v>
      </c>
      <c r="R28" s="351" t="str">
        <f>Comparativo!L41</f>
        <v>-</v>
      </c>
      <c r="S28" s="351" t="str">
        <f>Comparativo!N41</f>
        <v>-</v>
      </c>
      <c r="T28" s="351" t="str">
        <f>Comparativo!P41</f>
        <v>-</v>
      </c>
    </row>
    <row r="29" spans="13:20" ht="15" x14ac:dyDescent="0.2">
      <c r="M29" s="505" t="str">
        <f>Comparativo!C43</f>
        <v>Massa residual</v>
      </c>
      <c r="N29" s="505"/>
      <c r="O29" s="351" t="str">
        <f>Comparativo!F43</f>
        <v>-</v>
      </c>
      <c r="P29" s="351" t="str">
        <f>Comparativo!H43</f>
        <v>-</v>
      </c>
      <c r="Q29" s="351" t="str">
        <f>Comparativo!J43</f>
        <v>-</v>
      </c>
      <c r="R29" s="351" t="str">
        <f>Comparativo!L43</f>
        <v>-</v>
      </c>
      <c r="S29" s="351" t="str">
        <f>Comparativo!N43</f>
        <v>-</v>
      </c>
      <c r="T29" s="351" t="str">
        <f>Comparativo!P43</f>
        <v>-</v>
      </c>
    </row>
    <row r="30" spans="13:20" ht="15" x14ac:dyDescent="0.2">
      <c r="M30" s="505" t="str">
        <f>Comparativo!C45</f>
        <v>Massa óssea</v>
      </c>
      <c r="N30" s="505"/>
      <c r="O30" s="351" t="str">
        <f>Comparativo!F45</f>
        <v>-</v>
      </c>
      <c r="P30" s="351" t="str">
        <f>Comparativo!H45</f>
        <v>-</v>
      </c>
      <c r="Q30" s="351" t="str">
        <f>Comparativo!J45</f>
        <v>-</v>
      </c>
      <c r="R30" s="351" t="str">
        <f>Comparativo!L45</f>
        <v>-</v>
      </c>
      <c r="S30" s="351" t="str">
        <f>Comparativo!N45</f>
        <v>-</v>
      </c>
      <c r="T30" s="351" t="str">
        <f>Comparativo!P45</f>
        <v>-</v>
      </c>
    </row>
    <row r="31" spans="13:20" ht="15" x14ac:dyDescent="0.2">
      <c r="M31" s="505" t="str">
        <f>Comparativo!C47</f>
        <v>IMC</v>
      </c>
      <c r="N31" s="505"/>
      <c r="O31" s="351" t="str">
        <f>Comparativo!F47</f>
        <v>-</v>
      </c>
      <c r="P31" s="351" t="str">
        <f>Comparativo!H47</f>
        <v>-</v>
      </c>
      <c r="Q31" s="351" t="str">
        <f>Comparativo!J47</f>
        <v>-</v>
      </c>
      <c r="R31" s="351" t="str">
        <f>Comparativo!L47</f>
        <v>-</v>
      </c>
      <c r="S31" s="351" t="str">
        <f>Comparativo!N47</f>
        <v>-</v>
      </c>
      <c r="T31" s="351" t="str">
        <f>Comparativo!P47</f>
        <v>-</v>
      </c>
    </row>
    <row r="32" spans="13:20" ht="15" x14ac:dyDescent="0.2">
      <c r="M32" s="314"/>
      <c r="N32" s="314"/>
      <c r="O32" s="314"/>
      <c r="P32" s="314"/>
      <c r="Q32" s="314"/>
      <c r="R32" s="314"/>
      <c r="S32" s="314"/>
      <c r="T32" s="314"/>
    </row>
    <row r="33" spans="13:20" ht="15" x14ac:dyDescent="0.2">
      <c r="M33" s="314"/>
      <c r="N33" s="314"/>
      <c r="O33" s="314"/>
      <c r="P33" s="314"/>
      <c r="Q33" s="314"/>
      <c r="R33" s="314"/>
      <c r="S33" s="314"/>
      <c r="T33" s="314"/>
    </row>
    <row r="34" spans="13:20" ht="15" x14ac:dyDescent="0.2">
      <c r="M34" s="505"/>
      <c r="N34" s="505"/>
      <c r="O34" s="350" t="str">
        <f>O9</f>
        <v>-</v>
      </c>
      <c r="P34" s="350" t="str">
        <f t="shared" ref="P34:T34" si="2">P9</f>
        <v>-</v>
      </c>
      <c r="Q34" s="350" t="str">
        <f t="shared" si="2"/>
        <v>-</v>
      </c>
      <c r="R34" s="350" t="str">
        <f t="shared" si="2"/>
        <v>-</v>
      </c>
      <c r="S34" s="350" t="str">
        <f t="shared" si="2"/>
        <v>-</v>
      </c>
      <c r="T34" s="350" t="str">
        <f t="shared" si="2"/>
        <v>-</v>
      </c>
    </row>
    <row r="35" spans="13:20" ht="15" x14ac:dyDescent="0.2">
      <c r="M35" s="505" t="str">
        <f>Comparativo!C51</f>
        <v>Ombro</v>
      </c>
      <c r="N35" s="505"/>
      <c r="O35" s="351" t="str">
        <f>Comparativo!F51</f>
        <v>-</v>
      </c>
      <c r="P35" s="351" t="str">
        <f>Comparativo!H51</f>
        <v>-</v>
      </c>
      <c r="Q35" s="351" t="str">
        <f>Comparativo!J51</f>
        <v>-</v>
      </c>
      <c r="R35" s="351" t="str">
        <f>Comparativo!L51</f>
        <v>-</v>
      </c>
      <c r="S35" s="351" t="str">
        <f>Comparativo!N51</f>
        <v>-</v>
      </c>
      <c r="T35" s="351" t="str">
        <f>Comparativo!P51</f>
        <v>-</v>
      </c>
    </row>
    <row r="36" spans="13:20" ht="14.45" customHeight="1" x14ac:dyDescent="0.2">
      <c r="M36" s="505" t="str">
        <f>Comparativo!C53</f>
        <v>Toráx</v>
      </c>
      <c r="N36" s="505"/>
      <c r="O36" s="351" t="str">
        <f>Comparativo!F53</f>
        <v>-</v>
      </c>
      <c r="P36" s="351" t="str">
        <f>Comparativo!H53</f>
        <v>-</v>
      </c>
      <c r="Q36" s="351" t="str">
        <f>Comparativo!J53</f>
        <v>-</v>
      </c>
      <c r="R36" s="351" t="str">
        <f>Comparativo!L53</f>
        <v>-</v>
      </c>
      <c r="S36" s="351" t="str">
        <f>Comparativo!N53</f>
        <v>-</v>
      </c>
      <c r="T36" s="351" t="str">
        <f>Comparativo!P53</f>
        <v>-</v>
      </c>
    </row>
    <row r="37" spans="13:20" ht="14.45" customHeight="1" x14ac:dyDescent="0.2">
      <c r="M37" s="505" t="str">
        <f>Comparativo!C55</f>
        <v>Cintura</v>
      </c>
      <c r="N37" s="505"/>
      <c r="O37" s="351" t="str">
        <f>Comparativo!F55</f>
        <v>-</v>
      </c>
      <c r="P37" s="351" t="str">
        <f>Comparativo!H55</f>
        <v>-</v>
      </c>
      <c r="Q37" s="351" t="str">
        <f>Comparativo!J55</f>
        <v>-</v>
      </c>
      <c r="R37" s="351" t="str">
        <f>Comparativo!L55</f>
        <v>-</v>
      </c>
      <c r="S37" s="351" t="str">
        <f>Comparativo!N55</f>
        <v>-</v>
      </c>
      <c r="T37" s="351" t="str">
        <f>Comparativo!P55</f>
        <v>-</v>
      </c>
    </row>
    <row r="38" spans="13:20" ht="14.45" customHeight="1" x14ac:dyDescent="0.2">
      <c r="M38" s="505" t="str">
        <f>Comparativo!C57</f>
        <v>Abdômen</v>
      </c>
      <c r="N38" s="505"/>
      <c r="O38" s="351" t="str">
        <f>Comparativo!F57</f>
        <v>-</v>
      </c>
      <c r="P38" s="351" t="str">
        <f>Comparativo!H57</f>
        <v>-</v>
      </c>
      <c r="Q38" s="351" t="str">
        <f>Comparativo!J57</f>
        <v>-</v>
      </c>
      <c r="R38" s="351" t="str">
        <f>Comparativo!L57</f>
        <v>-</v>
      </c>
      <c r="S38" s="351" t="str">
        <f>Comparativo!N57</f>
        <v>-</v>
      </c>
      <c r="T38" s="351" t="str">
        <f>Comparativo!P57</f>
        <v>-</v>
      </c>
    </row>
    <row r="39" spans="13:20" ht="14.45" customHeight="1" x14ac:dyDescent="0.2">
      <c r="M39" s="505" t="str">
        <f>Comparativo!C59</f>
        <v>Quadril</v>
      </c>
      <c r="N39" s="505"/>
      <c r="O39" s="351" t="str">
        <f>Comparativo!F59</f>
        <v>-</v>
      </c>
      <c r="P39" s="351" t="str">
        <f>Comparativo!H59</f>
        <v>-</v>
      </c>
      <c r="Q39" s="351" t="str">
        <f>Comparativo!J59</f>
        <v>-</v>
      </c>
      <c r="R39" s="351" t="str">
        <f>Comparativo!L59</f>
        <v>-</v>
      </c>
      <c r="S39" s="351" t="str">
        <f>Comparativo!N59</f>
        <v>-</v>
      </c>
      <c r="T39" s="351" t="str">
        <f>Comparativo!P59</f>
        <v>-</v>
      </c>
    </row>
    <row r="40" spans="13:20" ht="14.45" customHeight="1" x14ac:dyDescent="0.2">
      <c r="M40" s="505" t="str">
        <f>Comparativo!C61</f>
        <v>Braço (d)</v>
      </c>
      <c r="N40" s="505"/>
      <c r="O40" s="351" t="str">
        <f>Comparativo!F61</f>
        <v>-</v>
      </c>
      <c r="P40" s="351" t="str">
        <f>Comparativo!H61</f>
        <v>-</v>
      </c>
      <c r="Q40" s="351" t="str">
        <f>Comparativo!J61</f>
        <v>-</v>
      </c>
      <c r="R40" s="351" t="str">
        <f>Comparativo!L61</f>
        <v>-</v>
      </c>
      <c r="S40" s="351" t="str">
        <f>Comparativo!N61</f>
        <v>-</v>
      </c>
      <c r="T40" s="351" t="str">
        <f>Comparativo!P61</f>
        <v>-</v>
      </c>
    </row>
    <row r="41" spans="13:20" ht="14.45" customHeight="1" x14ac:dyDescent="0.2">
      <c r="M41" s="505" t="str">
        <f>Comparativo!C63</f>
        <v>Braço (e)</v>
      </c>
      <c r="N41" s="505"/>
      <c r="O41" s="351" t="str">
        <f>Comparativo!F63</f>
        <v>-</v>
      </c>
      <c r="P41" s="351" t="str">
        <f>Comparativo!H63</f>
        <v>-</v>
      </c>
      <c r="Q41" s="351" t="str">
        <f>Comparativo!J63</f>
        <v>-</v>
      </c>
      <c r="R41" s="351" t="str">
        <f>Comparativo!L63</f>
        <v>-</v>
      </c>
      <c r="S41" s="351" t="str">
        <f>Comparativo!N63</f>
        <v>-</v>
      </c>
      <c r="T41" s="351" t="str">
        <f>Comparativo!P63</f>
        <v>-</v>
      </c>
    </row>
    <row r="42" spans="13:20" ht="14.45" customHeight="1" x14ac:dyDescent="0.2">
      <c r="M42" s="505" t="str">
        <f>Comparativo!C65</f>
        <v>Antebraço (d)</v>
      </c>
      <c r="N42" s="505"/>
      <c r="O42" s="351" t="str">
        <f>Comparativo!F65</f>
        <v>-</v>
      </c>
      <c r="P42" s="351" t="str">
        <f>Comparativo!H65</f>
        <v>-</v>
      </c>
      <c r="Q42" s="351" t="str">
        <f>Comparativo!J65</f>
        <v>-</v>
      </c>
      <c r="R42" s="351" t="str">
        <f>Comparativo!L65</f>
        <v>-</v>
      </c>
      <c r="S42" s="351" t="str">
        <f>Comparativo!N65</f>
        <v>-</v>
      </c>
      <c r="T42" s="351" t="str">
        <f>Comparativo!P65</f>
        <v>-</v>
      </c>
    </row>
    <row r="43" spans="13:20" ht="14.45" customHeight="1" x14ac:dyDescent="0.2">
      <c r="M43" s="505" t="str">
        <f>Comparativo!C67</f>
        <v>Antebraço (e)</v>
      </c>
      <c r="N43" s="505"/>
      <c r="O43" s="351" t="str">
        <f>Comparativo!F67</f>
        <v>-</v>
      </c>
      <c r="P43" s="351" t="str">
        <f>Comparativo!H67</f>
        <v>-</v>
      </c>
      <c r="Q43" s="351" t="str">
        <f>Comparativo!J67</f>
        <v>-</v>
      </c>
      <c r="R43" s="351" t="str">
        <f>Comparativo!L67</f>
        <v>-</v>
      </c>
      <c r="S43" s="351" t="str">
        <f>Comparativo!N67</f>
        <v>-</v>
      </c>
      <c r="T43" s="351" t="str">
        <f>Comparativo!P67</f>
        <v>-</v>
      </c>
    </row>
    <row r="44" spans="13:20" ht="14.45" customHeight="1" x14ac:dyDescent="0.2">
      <c r="M44" s="505" t="str">
        <f>Comparativo!C69</f>
        <v>Coxa (d)</v>
      </c>
      <c r="N44" s="505"/>
      <c r="O44" s="351" t="str">
        <f>Comparativo!F69</f>
        <v>-</v>
      </c>
      <c r="P44" s="351" t="str">
        <f>Comparativo!H69</f>
        <v>-</v>
      </c>
      <c r="Q44" s="351" t="str">
        <f>Comparativo!J69</f>
        <v>-</v>
      </c>
      <c r="R44" s="351" t="str">
        <f>Comparativo!L69</f>
        <v>-</v>
      </c>
      <c r="S44" s="351" t="str">
        <f>Comparativo!N69</f>
        <v>-</v>
      </c>
      <c r="T44" s="351" t="str">
        <f>Comparativo!P69</f>
        <v>-</v>
      </c>
    </row>
    <row r="45" spans="13:20" ht="14.45" customHeight="1" x14ac:dyDescent="0.2">
      <c r="M45" s="505" t="str">
        <f>Comparativo!C71</f>
        <v>Coxa (e)</v>
      </c>
      <c r="N45" s="505"/>
      <c r="O45" s="351" t="str">
        <f>Comparativo!F71</f>
        <v>-</v>
      </c>
      <c r="P45" s="351" t="str">
        <f>Comparativo!H71</f>
        <v>-</v>
      </c>
      <c r="Q45" s="351" t="str">
        <f>Comparativo!J71</f>
        <v>-</v>
      </c>
      <c r="R45" s="351" t="str">
        <f>Comparativo!L71</f>
        <v>-</v>
      </c>
      <c r="S45" s="351" t="str">
        <f>Comparativo!N71</f>
        <v>-</v>
      </c>
      <c r="T45" s="351" t="str">
        <f>Comparativo!P71</f>
        <v>-</v>
      </c>
    </row>
    <row r="46" spans="13:20" ht="14.45" customHeight="1" x14ac:dyDescent="0.2">
      <c r="M46" s="505" t="str">
        <f>Comparativo!C73</f>
        <v>Panturrilha (d)</v>
      </c>
      <c r="N46" s="505"/>
      <c r="O46" s="351" t="str">
        <f>Comparativo!F73</f>
        <v>-</v>
      </c>
      <c r="P46" s="351" t="str">
        <f>Comparativo!H73</f>
        <v>-</v>
      </c>
      <c r="Q46" s="351" t="str">
        <f>Comparativo!J73</f>
        <v>-</v>
      </c>
      <c r="R46" s="351" t="str">
        <f>Comparativo!L73</f>
        <v>-</v>
      </c>
      <c r="S46" s="351" t="str">
        <f>Comparativo!N73</f>
        <v>-</v>
      </c>
      <c r="T46" s="351" t="str">
        <f>Comparativo!P73</f>
        <v>-</v>
      </c>
    </row>
    <row r="47" spans="13:20" ht="14.45" customHeight="1" x14ac:dyDescent="0.2">
      <c r="M47" s="505" t="str">
        <f>Comparativo!C75</f>
        <v>Panturrilha (e)</v>
      </c>
      <c r="N47" s="505"/>
      <c r="O47" s="351" t="str">
        <f>Comparativo!F75</f>
        <v>-</v>
      </c>
      <c r="P47" s="351" t="str">
        <f>Comparativo!H75</f>
        <v>-</v>
      </c>
      <c r="Q47" s="351" t="str">
        <f>Comparativo!J75</f>
        <v>-</v>
      </c>
      <c r="R47" s="351" t="str">
        <f>Comparativo!L75</f>
        <v>-</v>
      </c>
      <c r="S47" s="351" t="str">
        <f>Comparativo!N75</f>
        <v>-</v>
      </c>
      <c r="T47" s="351" t="str">
        <f>Comparativo!P75</f>
        <v>-</v>
      </c>
    </row>
    <row r="48" spans="13:20" ht="14.45" customHeight="1" x14ac:dyDescent="0.2">
      <c r="O48" s="314"/>
    </row>
    <row r="49" spans="15:15" ht="14.45" customHeight="1" x14ac:dyDescent="0.2">
      <c r="O49" s="314"/>
    </row>
    <row r="50" spans="15:15" ht="14.45" customHeight="1" x14ac:dyDescent="0.2"/>
    <row r="51" spans="15:15" ht="14.45" customHeight="1" x14ac:dyDescent="0.2"/>
  </sheetData>
  <sheetProtection algorithmName="SHA-512" hashValue="H3aS04HvldJ3cDJHTZc8Rub0OwGvXt9IFpQfgy7P9BcKl9+4X1ZbndKN+pFyWmh/jB1XWawPZOQD7SjsopoJVQ==" saltValue="X00tdVQNawq2ej624AzXPQ==" spinCount="100000" sheet="1" objects="1" scenarios="1" selectLockedCells="1" selectUnlockedCells="1"/>
  <mergeCells count="34">
    <mergeCell ref="M23:N23"/>
    <mergeCell ref="M9:N9"/>
    <mergeCell ref="M11:N11"/>
    <mergeCell ref="M12:N12"/>
    <mergeCell ref="M13:N13"/>
    <mergeCell ref="M14:N14"/>
    <mergeCell ref="M15:N15"/>
    <mergeCell ref="M16:N16"/>
    <mergeCell ref="M17:N17"/>
    <mergeCell ref="M18:N18"/>
    <mergeCell ref="M19:N19"/>
    <mergeCell ref="M20:N20"/>
    <mergeCell ref="M37:N37"/>
    <mergeCell ref="M24:N24"/>
    <mergeCell ref="M25:N25"/>
    <mergeCell ref="M26:N26"/>
    <mergeCell ref="M27:N27"/>
    <mergeCell ref="M28:N28"/>
    <mergeCell ref="M29:N29"/>
    <mergeCell ref="M30:N30"/>
    <mergeCell ref="M31:N31"/>
    <mergeCell ref="M34:N34"/>
    <mergeCell ref="M35:N35"/>
    <mergeCell ref="M36:N36"/>
    <mergeCell ref="M44:N44"/>
    <mergeCell ref="M45:N45"/>
    <mergeCell ref="M46:N46"/>
    <mergeCell ref="M47:N47"/>
    <mergeCell ref="M38:N38"/>
    <mergeCell ref="M39:N39"/>
    <mergeCell ref="M40:N40"/>
    <mergeCell ref="M41:N41"/>
    <mergeCell ref="M42:N42"/>
    <mergeCell ref="M43:N4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colBreaks count="1" manualBreakCount="1">
    <brk id="10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20</vt:i4>
      </vt:variant>
    </vt:vector>
  </HeadingPairs>
  <TitlesOfParts>
    <vt:vector size="28" baseType="lpstr">
      <vt:lpstr>Avaliação Física 1</vt:lpstr>
      <vt:lpstr>Avaliação Física 2</vt:lpstr>
      <vt:lpstr>Avaliação Física 3</vt:lpstr>
      <vt:lpstr>Avaliação Física 4</vt:lpstr>
      <vt:lpstr>Avaliação Física 5</vt:lpstr>
      <vt:lpstr>Avaliação Física 6</vt:lpstr>
      <vt:lpstr>Comparativo</vt:lpstr>
      <vt:lpstr>Gráficos</vt:lpstr>
      <vt:lpstr>Avaliação Física 1!Area_de_impressao</vt:lpstr>
      <vt:lpstr>Avaliação Física 2!Area_de_impressao</vt:lpstr>
      <vt:lpstr>Avaliação Física 3!Area_de_impressao</vt:lpstr>
      <vt:lpstr>Avaliação Física 4!Area_de_impressao</vt:lpstr>
      <vt:lpstr>Avaliação Física 5!Area_de_impressao</vt:lpstr>
      <vt:lpstr>Avaliação Física 6!Area_de_impressao</vt:lpstr>
      <vt:lpstr>Comparativo!Area_de_impressao</vt:lpstr>
      <vt:lpstr>Gráficos!Area_de_impressao</vt:lpstr>
      <vt:lpstr>Avaliação Física 2!cr</vt:lpstr>
      <vt:lpstr>Avaliação Física 3!cr</vt:lpstr>
      <vt:lpstr>Avaliação Física 4!cr</vt:lpstr>
      <vt:lpstr>Avaliação Física 5!cr</vt:lpstr>
      <vt:lpstr>Avaliação Física 6!cr</vt:lpstr>
      <vt:lpstr>cr</vt:lpstr>
      <vt:lpstr>Avaliação Física 1!Titulos_de_impressao</vt:lpstr>
      <vt:lpstr>Avaliação Física 2!Titulos_de_impressao</vt:lpstr>
      <vt:lpstr>Avaliação Física 3!Titulos_de_impressao</vt:lpstr>
      <vt:lpstr>Avaliação Física 4!Titulos_de_impressao</vt:lpstr>
      <vt:lpstr>Avaliação Física 5!Titulos_de_impressao</vt:lpstr>
      <vt:lpstr>Avaliação Física 6!Titulos_de_impressao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Ewerton Santos Personal</dc:creator>
  <cp:lastModifiedBy>Everton</cp:lastModifiedBy>
  <cp:lastPrinted>2020-09-10T01:03:37Z</cp:lastPrinted>
  <dcterms:created xsi:type="dcterms:W3CDTF">2014-12-22T13:54:30Z</dcterms:created>
  <dcterms:modified xsi:type="dcterms:W3CDTF">2020-09-10T01:06:08Z</dcterms:modified>
</cp:coreProperties>
</file>